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O:\DRHC\CGS\REPORTING\REPORTING RAPPORT EGALITE HOMME FEMME\Index Ega Pro\2024\INDEX 2024 END\"/>
    </mc:Choice>
  </mc:AlternateContent>
  <xr:revisionPtr revIDLastSave="0" documentId="13_ncr:1_{26C68437-0256-4DEC-8E1F-1CE710EA55EB}" xr6:coauthVersionLast="47" xr6:coauthVersionMax="47" xr10:uidLastSave="{00000000-0000-0000-0000-000000000000}"/>
  <bookViews>
    <workbookView xWindow="-120" yWindow="-120" windowWidth="29040" windowHeight="15840" xr2:uid="{00000000-000D-0000-FFFF-FFFF0000000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C13" i="9" l="1"/>
  <c r="B13" i="9"/>
  <c r="E13" i="9"/>
  <c r="B9" i="7"/>
  <c r="G11" i="9"/>
  <c r="H11" i="9" s="1"/>
  <c r="G12" i="9"/>
  <c r="H12" i="9" s="1"/>
  <c r="G10" i="9"/>
  <c r="H10" i="9" s="1"/>
  <c r="D8" i="12"/>
  <c r="F12" i="11"/>
  <c r="E12" i="11"/>
  <c r="F11" i="11"/>
  <c r="E11" i="11"/>
  <c r="F10" i="11"/>
  <c r="E10" i="11"/>
  <c r="F9" i="11"/>
  <c r="E9" i="11"/>
  <c r="B7" i="8"/>
  <c r="B8" i="8" s="1"/>
  <c r="B9" i="8" s="1"/>
  <c r="B10" i="8" s="1"/>
  <c r="B11" i="8" s="1"/>
  <c r="B12" i="8" s="1"/>
  <c r="B13" i="8" s="1"/>
  <c r="B14" i="8" s="1"/>
  <c r="B15" i="8" s="1"/>
  <c r="B16" i="8" s="1"/>
  <c r="B17" i="8" s="1"/>
  <c r="B18" i="8" s="1"/>
  <c r="B19" i="8" s="1"/>
  <c r="B20" i="8" s="1"/>
  <c r="B21" i="8" s="1"/>
  <c r="B22" i="8" s="1"/>
  <c r="B23" i="8" s="1"/>
  <c r="B24" i="8" s="1"/>
  <c r="B25" i="8" s="1"/>
  <c r="B26" i="8" s="1"/>
  <c r="C13" i="11" l="1"/>
  <c r="E13" i="11"/>
  <c r="B13" i="11"/>
  <c r="D13" i="9"/>
  <c r="D12" i="11"/>
  <c r="D11" i="11"/>
  <c r="D10" i="11"/>
  <c r="C13" i="12"/>
  <c r="C9" i="7" s="1"/>
  <c r="G10" i="11"/>
  <c r="H10" i="11" s="1"/>
  <c r="G12" i="11"/>
  <c r="H12" i="11" s="1"/>
  <c r="G11" i="11"/>
  <c r="H11" i="11" s="1"/>
  <c r="G9" i="11"/>
  <c r="F10" i="7"/>
  <c r="D8" i="10"/>
  <c r="E8" i="10" s="1"/>
  <c r="C11" i="10" s="1"/>
  <c r="E12" i="5"/>
  <c r="F12" i="5" s="1"/>
  <c r="E28" i="5"/>
  <c r="I12" i="5"/>
  <c r="K12" i="5" s="1"/>
  <c r="D11" i="10" l="1"/>
  <c r="D13" i="11"/>
  <c r="C14" i="12"/>
  <c r="D14" i="12" s="1"/>
  <c r="F9" i="7"/>
  <c r="J12" i="5"/>
  <c r="J28" i="5" s="1"/>
  <c r="K13" i="5" s="1"/>
  <c r="H9" i="11"/>
  <c r="H13" i="11" s="1"/>
  <c r="G9" i="9"/>
  <c r="I9" i="11" l="1"/>
  <c r="D32" i="5"/>
  <c r="K15" i="5"/>
  <c r="K27" i="5"/>
  <c r="K14" i="5"/>
  <c r="H9" i="9"/>
  <c r="H13" i="9" s="1"/>
  <c r="C16" i="9" s="1"/>
  <c r="C16" i="11"/>
  <c r="D16" i="11" s="1"/>
  <c r="I10" i="11"/>
  <c r="D9" i="7"/>
  <c r="K23" i="5"/>
  <c r="K24" i="5"/>
  <c r="K25" i="5"/>
  <c r="K19" i="5"/>
  <c r="K20" i="5"/>
  <c r="K16" i="5"/>
  <c r="K18" i="5"/>
  <c r="K26" i="5"/>
  <c r="K17" i="5"/>
  <c r="K22" i="5"/>
  <c r="K21" i="5"/>
  <c r="I12" i="11"/>
  <c r="I11" i="11"/>
  <c r="C12" i="10"/>
  <c r="D10" i="7" s="1"/>
  <c r="C10" i="7"/>
  <c r="I9" i="9" l="1"/>
  <c r="E32" i="5"/>
  <c r="B7" i="7"/>
  <c r="F7" i="7" s="1"/>
  <c r="I11" i="9"/>
  <c r="I13" i="11"/>
  <c r="C17" i="11" s="1"/>
  <c r="B8" i="7"/>
  <c r="F8" i="7" s="1"/>
  <c r="K28" i="5"/>
  <c r="E33" i="5" s="1"/>
  <c r="I12" i="9"/>
  <c r="I10" i="9"/>
  <c r="D17" i="11" l="1"/>
  <c r="I13" i="9"/>
  <c r="C17" i="9" s="1"/>
  <c r="D33" i="5"/>
  <c r="D16" i="9"/>
  <c r="D17" i="9" l="1"/>
  <c r="C8" i="7"/>
  <c r="D34" i="5"/>
  <c r="C18" i="9" s="1"/>
  <c r="B6" i="7"/>
  <c r="F6" i="7" s="1"/>
  <c r="F11" i="7" s="1"/>
  <c r="D18" i="9" l="1"/>
  <c r="D7" i="7"/>
  <c r="D18" i="11"/>
  <c r="C18" i="11"/>
  <c r="D8" i="7" s="1"/>
  <c r="A13" i="7"/>
  <c r="C7" i="7"/>
  <c r="D6" i="7"/>
  <c r="D11" i="7" l="1"/>
  <c r="D12" i="7" s="1"/>
  <c r="C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<sst xmlns="http://schemas.openxmlformats.org/spreadsheetml/2006/main" count="150" uniqueCount="84">
  <si>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</si>
  <si>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</si>
  <si>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</si>
  <si>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</si>
  <si>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</si>
  <si>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</si>
  <si>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</si>
  <si>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</si>
  <si>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</si>
  <si>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</si>
  <si>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</si>
  <si>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</si>
  <si>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</si>
  <si>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</si>
  <si>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</si>
  <si>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</si>
  <si>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</si>
  <si>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</si>
  <si>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</si>
  <si>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</si>
  <si>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</si>
  <si>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</si>
  <si>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</si>
  <si>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</si>
  <si>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</si>
  <si>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</si>
  <si>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</si>
  <si>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</si>
  <si>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</si>
  <si>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</si>
  <si>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</si>
  <si>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</si>
  <si>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</si>
  <si>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</si>
  <si>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</si>
  <si>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</si>
  <si>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</si>
  <si>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</si>
  <si>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</si>
  <si>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</si>
  <si>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</si>
  <si>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</si>
  <si>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</si>
  <si>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</si>
  <si>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</si>
  <si>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</si>
  <si>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</si>
  <si>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</si>
  <si>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</si>
  <si>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</si>
  <si>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</si>
  <si>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</si>
  <si>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</si>
  <si>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</si>
  <si>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</si>
  <si>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</si>
  <si>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</si>
  <si>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</si>
  <si>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</si>
  <si>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</si>
  <si>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</si>
  <si>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</si>
  <si>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</si>
  <si>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</si>
  <si>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</si>
  <si>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</si>
  <si>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</si>
  <si>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</si>
  <si>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</si>
  <si>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</si>
  <si>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</si>
  <si>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</si>
  <si>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</si>
  <si>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</si>
  <si>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</si>
  <si>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</si>
  <si>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</si>
  <si>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</si>
  <si>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</si>
  <si>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</si>
  <si>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de retour de congé maternité/adoption*</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</si>
  <si>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</si>
  <si>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 Les augmentations à prendre en compte sont celles qui sont intervenues soit pendant le congé maternité/adoption, soit à son retour, avant la fin de la période de référence.</t>
  </si>
  <si>
    <t>augmentés**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</si>
</sst>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2">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9" fillId="0" borderId="0" xfId="0" applyFont="1" applyAlignment="1">
      <alignment horizontal="right" indent="2"/>
    </xf>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topLeftCell="A10" zoomScale="80" zoomScaleNormal="80" workbookViewId="0">
      <selection activeCell="H37" sqref="H37"/>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72</v>
      </c>
      <c r="B3" s="81"/>
      <c r="C3" s="81"/>
      <c r="D3" s="81"/>
      <c r="E3" s="81"/>
      <c r="F3" s="81"/>
      <c r="G3" s="81"/>
      <c r="H3" s="81"/>
    </row>
    <row r="4" spans="1:11" ht="23.25" x14ac:dyDescent="0.35">
      <c r="A4" s="12" t="s">
        <v>74</v>
      </c>
      <c r="B4" s="81"/>
      <c r="C4" s="81"/>
      <c r="D4" s="81"/>
      <c r="E4" s="81"/>
      <c r="F4" s="81"/>
      <c r="G4" s="81"/>
      <c r="H4" s="81"/>
    </row>
    <row r="5" spans="1:11" ht="23.25" x14ac:dyDescent="0.35">
      <c r="A5" s="12" t="s">
        <v>73</v>
      </c>
      <c r="B5" s="81"/>
      <c r="C5" s="81"/>
      <c r="D5" s="81"/>
      <c r="E5" s="81"/>
      <c r="F5" s="81"/>
      <c r="G5" s="81"/>
      <c r="H5" s="81"/>
    </row>
    <row r="6" spans="1:11" ht="21" x14ac:dyDescent="0.35">
      <c r="A6" s="8"/>
    </row>
    <row r="7" spans="1:11" ht="21" x14ac:dyDescent="0.35">
      <c r="A7" s="49" t="s">
        <v>36</v>
      </c>
      <c r="B7" s="35"/>
      <c r="C7" s="74" t="s">
        <v>38</v>
      </c>
      <c r="D7" s="35" t="s">
        <v>78</v>
      </c>
    </row>
    <row r="8" spans="1:11" ht="44.25" customHeight="1" x14ac:dyDescent="0.25">
      <c r="A8" s="76" t="s">
        <v>37</v>
      </c>
      <c r="B8" s="77"/>
      <c r="C8" s="78">
        <v>0.05</v>
      </c>
      <c r="D8" s="89" t="s">
        <v>79</v>
      </c>
      <c r="E8" s="89"/>
      <c r="F8" s="89"/>
      <c r="G8" s="89"/>
      <c r="H8" s="89"/>
      <c r="I8" s="89"/>
      <c r="J8" s="89"/>
      <c r="K8" s="89"/>
    </row>
    <row r="10" spans="1:11" ht="45.75" customHeight="1" x14ac:dyDescent="0.25">
      <c r="A10" s="85" t="s">
        <v>2</v>
      </c>
      <c r="B10" s="85" t="s">
        <v>3</v>
      </c>
      <c r="C10" s="85" t="s">
        <v>41</v>
      </c>
      <c r="D10" s="85"/>
      <c r="E10" s="85" t="s">
        <v>42</v>
      </c>
      <c r="F10" s="85" t="s">
        <v>11</v>
      </c>
      <c r="G10" s="90" t="s">
        <v>24</v>
      </c>
      <c r="H10" s="91"/>
      <c r="I10" s="85" t="s">
        <v>8</v>
      </c>
      <c r="J10" s="85" t="s">
        <v>40</v>
      </c>
      <c r="K10" s="85" t="s">
        <v>9</v>
      </c>
    </row>
    <row r="11" spans="1:11" ht="23.25" x14ac:dyDescent="0.25">
      <c r="A11" s="85"/>
      <c r="B11" s="85"/>
      <c r="C11" s="9" t="s">
        <v>0</v>
      </c>
      <c r="D11" s="9" t="s">
        <v>1</v>
      </c>
      <c r="E11" s="85"/>
      <c r="F11" s="85"/>
      <c r="G11" s="9" t="s">
        <v>0</v>
      </c>
      <c r="H11" s="9" t="s">
        <v>1</v>
      </c>
      <c r="I11" s="85"/>
      <c r="J11" s="85"/>
      <c r="K11" s="85"/>
    </row>
    <row r="12" spans="1:11" ht="23.25" customHeight="1" x14ac:dyDescent="0.35">
      <c r="A12" s="85" t="s">
        <v>21</v>
      </c>
      <c r="B12" s="10" t="s">
        <v>7</v>
      </c>
      <c r="C12" s="19">
        <v>24369.710000000003</v>
      </c>
      <c r="D12" s="19">
        <v>27147.841612903212</v>
      </c>
      <c r="E12" s="20">
        <f>IF(AND(C12&gt;0,D12&gt;0),(D12-C12)/D12," ")</f>
        <v>0.10233342497411578</v>
      </c>
      <c r="F12" s="20">
        <f t="shared" ref="F12" si="0">IF(ISNUMBER(E12),SIGN(E12)*MAX(0,ABS(E12)-$C$8)," ")</f>
        <v>5.2333424974115778E-2</v>
      </c>
      <c r="G12" s="21">
        <v>1</v>
      </c>
      <c r="H12" s="21">
        <v>186</v>
      </c>
      <c r="I12" s="22">
        <f>IF(AND(G12&gt;=3,H12&gt;=3),1,0)</f>
        <v>0</v>
      </c>
      <c r="J12" s="22">
        <f>I12*SUM(G12:H12)</f>
        <v>0</v>
      </c>
      <c r="K12" s="23">
        <f t="shared" ref="K12:K27" si="1">IF(I12=1,F12*J12/J$28,0)</f>
        <v>0</v>
      </c>
    </row>
    <row r="13" spans="1:11" ht="23.25" x14ac:dyDescent="0.35">
      <c r="A13" s="85"/>
      <c r="B13" s="10" t="s">
        <v>4</v>
      </c>
      <c r="C13" s="19">
        <v>25935.848000000005</v>
      </c>
      <c r="D13" s="19">
        <v>28256.494305234279</v>
      </c>
      <c r="E13" s="20">
        <f t="shared" ref="E13:E27" si="2">IF(AND(C13&gt;0,D13&gt;0),(D13-C13)/D13," ")</f>
        <v>8.2127891739365314E-2</v>
      </c>
      <c r="F13" s="20">
        <f t="shared" ref="F13:F27" si="3">IF(ISNUMBER(E13),SIGN(E13)*MAX(0,ABS(E13)-$C$8)," ")</f>
        <v>3.2127891739365311E-2</v>
      </c>
      <c r="G13" s="21">
        <v>5</v>
      </c>
      <c r="H13" s="21">
        <v>295</v>
      </c>
      <c r="I13" s="22">
        <f t="shared" ref="I13:I27" si="4">IF(AND(G13&gt;=3,H13&gt;=3),1,0)</f>
        <v>1</v>
      </c>
      <c r="J13" s="22">
        <f t="shared" ref="J13:J27" si="5">I13*SUM(G13:H13)</f>
        <v>300</v>
      </c>
      <c r="K13" s="23">
        <f t="shared" si="1"/>
        <v>3.6112279961819384E-3</v>
      </c>
    </row>
    <row r="14" spans="1:11" ht="23.25" x14ac:dyDescent="0.35">
      <c r="A14" s="85"/>
      <c r="B14" s="10" t="s">
        <v>5</v>
      </c>
      <c r="C14" s="24">
        <v>26436.920000000006</v>
      </c>
      <c r="D14" s="24">
        <v>28584.956592920364</v>
      </c>
      <c r="E14" s="20">
        <f t="shared" si="2"/>
        <v>7.514570070931513E-2</v>
      </c>
      <c r="F14" s="20">
        <f t="shared" si="3"/>
        <v>2.5145700709315127E-2</v>
      </c>
      <c r="G14" s="21">
        <v>5</v>
      </c>
      <c r="H14" s="21">
        <v>226</v>
      </c>
      <c r="I14" s="22">
        <f t="shared" si="4"/>
        <v>1</v>
      </c>
      <c r="J14" s="22">
        <f t="shared" si="5"/>
        <v>231</v>
      </c>
      <c r="K14" s="23">
        <f t="shared" si="1"/>
        <v>2.176342024672834E-3</v>
      </c>
    </row>
    <row r="15" spans="1:11" ht="23.25" x14ac:dyDescent="0.35">
      <c r="A15" s="85"/>
      <c r="B15" s="10" t="s">
        <v>6</v>
      </c>
      <c r="C15" s="24">
        <v>28053.012857142861</v>
      </c>
      <c r="D15" s="24">
        <v>28298.710705554582</v>
      </c>
      <c r="E15" s="20">
        <f t="shared" si="2"/>
        <v>8.6822983198133561E-3</v>
      </c>
      <c r="F15" s="20">
        <f t="shared" si="3"/>
        <v>0</v>
      </c>
      <c r="G15" s="21">
        <v>7</v>
      </c>
      <c r="H15" s="21">
        <v>287</v>
      </c>
      <c r="I15" s="22">
        <f t="shared" si="4"/>
        <v>1</v>
      </c>
      <c r="J15" s="22">
        <f t="shared" si="5"/>
        <v>294</v>
      </c>
      <c r="K15" s="23">
        <f t="shared" si="1"/>
        <v>0</v>
      </c>
    </row>
    <row r="16" spans="1:11" ht="23.25" customHeight="1" x14ac:dyDescent="0.35">
      <c r="A16" s="85" t="s">
        <v>20</v>
      </c>
      <c r="B16" s="10" t="s">
        <v>7</v>
      </c>
      <c r="C16" s="19">
        <v>29567.703474821163</v>
      </c>
      <c r="D16" s="19">
        <v>24753.599999999999</v>
      </c>
      <c r="E16" s="20">
        <f t="shared" si="2"/>
        <v>-0.19448094316871745</v>
      </c>
      <c r="F16" s="20">
        <f t="shared" si="3"/>
        <v>-0.14448094316871746</v>
      </c>
      <c r="G16" s="21">
        <v>11</v>
      </c>
      <c r="H16" s="21">
        <v>1</v>
      </c>
      <c r="I16" s="22">
        <f t="shared" si="4"/>
        <v>0</v>
      </c>
      <c r="J16" s="22">
        <f t="shared" si="5"/>
        <v>0</v>
      </c>
      <c r="K16" s="23">
        <f t="shared" si="1"/>
        <v>0</v>
      </c>
    </row>
    <row r="17" spans="1:11" ht="23.25" x14ac:dyDescent="0.35">
      <c r="A17" s="85"/>
      <c r="B17" s="10" t="s">
        <v>4</v>
      </c>
      <c r="C17" s="19">
        <v>30923.816005332177</v>
      </c>
      <c r="D17" s="19">
        <v>30994.198333333337</v>
      </c>
      <c r="E17" s="20">
        <f t="shared" si="2"/>
        <v>2.2708226631390593E-3</v>
      </c>
      <c r="F17" s="20">
        <f t="shared" si="3"/>
        <v>0</v>
      </c>
      <c r="G17" s="21">
        <v>27</v>
      </c>
      <c r="H17" s="21">
        <v>6</v>
      </c>
      <c r="I17" s="22">
        <f t="shared" si="4"/>
        <v>1</v>
      </c>
      <c r="J17" s="22">
        <f t="shared" si="5"/>
        <v>33</v>
      </c>
      <c r="K17" s="23">
        <f t="shared" si="1"/>
        <v>0</v>
      </c>
    </row>
    <row r="18" spans="1:11" ht="23.25" x14ac:dyDescent="0.35">
      <c r="A18" s="85"/>
      <c r="B18" s="10" t="s">
        <v>5</v>
      </c>
      <c r="C18" s="24">
        <v>34446.850560238236</v>
      </c>
      <c r="D18" s="19">
        <v>31785.059999999998</v>
      </c>
      <c r="E18" s="20">
        <f t="shared" si="2"/>
        <v>-8.3743449288383856E-2</v>
      </c>
      <c r="F18" s="20">
        <f t="shared" si="3"/>
        <v>-3.3743449288383853E-2</v>
      </c>
      <c r="G18" s="21">
        <v>21</v>
      </c>
      <c r="H18" s="21">
        <v>5</v>
      </c>
      <c r="I18" s="22">
        <f t="shared" si="4"/>
        <v>1</v>
      </c>
      <c r="J18" s="22">
        <f t="shared" si="5"/>
        <v>26</v>
      </c>
      <c r="K18" s="23">
        <f t="shared" si="1"/>
        <v>-3.2871100842936688E-4</v>
      </c>
    </row>
    <row r="19" spans="1:11" ht="23.25" x14ac:dyDescent="0.35">
      <c r="A19" s="85"/>
      <c r="B19" s="10" t="s">
        <v>6</v>
      </c>
      <c r="C19" s="24">
        <v>35332.054008195868</v>
      </c>
      <c r="D19" s="24">
        <v>36575.091160894466</v>
      </c>
      <c r="E19" s="20">
        <f t="shared" si="2"/>
        <v>3.3985893493209796E-2</v>
      </c>
      <c r="F19" s="20">
        <f t="shared" si="3"/>
        <v>0</v>
      </c>
      <c r="G19" s="21">
        <v>34</v>
      </c>
      <c r="H19" s="21">
        <v>8</v>
      </c>
      <c r="I19" s="22">
        <f t="shared" si="4"/>
        <v>1</v>
      </c>
      <c r="J19" s="22">
        <f t="shared" si="5"/>
        <v>42</v>
      </c>
      <c r="K19" s="23">
        <f t="shared" si="1"/>
        <v>0</v>
      </c>
    </row>
    <row r="20" spans="1:11" ht="23.25" customHeight="1" x14ac:dyDescent="0.35">
      <c r="A20" s="85" t="s">
        <v>39</v>
      </c>
      <c r="B20" s="10" t="s">
        <v>7</v>
      </c>
      <c r="C20" s="19">
        <v>35033.00086596913</v>
      </c>
      <c r="D20" s="19">
        <v>30925.701089903447</v>
      </c>
      <c r="E20" s="20">
        <f t="shared" si="2"/>
        <v>-0.13281185652430125</v>
      </c>
      <c r="F20" s="20">
        <f t="shared" si="3"/>
        <v>-8.2811856524301244E-2</v>
      </c>
      <c r="G20" s="21">
        <v>5</v>
      </c>
      <c r="H20" s="21">
        <v>100</v>
      </c>
      <c r="I20" s="22">
        <f t="shared" si="4"/>
        <v>1</v>
      </c>
      <c r="J20" s="22">
        <f t="shared" si="5"/>
        <v>105</v>
      </c>
      <c r="K20" s="23">
        <f t="shared" si="1"/>
        <v>-3.2578662177038709E-3</v>
      </c>
    </row>
    <row r="21" spans="1:11" ht="23.25" x14ac:dyDescent="0.35">
      <c r="A21" s="85"/>
      <c r="B21" s="10" t="s">
        <v>4</v>
      </c>
      <c r="C21" s="19">
        <v>32672.728130244461</v>
      </c>
      <c r="D21" s="19">
        <v>34086.685555799486</v>
      </c>
      <c r="E21" s="20">
        <f t="shared" si="2"/>
        <v>4.1481223606806658E-2</v>
      </c>
      <c r="F21" s="20">
        <f t="shared" si="3"/>
        <v>0</v>
      </c>
      <c r="G21" s="21">
        <v>19</v>
      </c>
      <c r="H21" s="21">
        <v>252</v>
      </c>
      <c r="I21" s="22">
        <f t="shared" si="4"/>
        <v>1</v>
      </c>
      <c r="J21" s="22">
        <f t="shared" si="5"/>
        <v>271</v>
      </c>
      <c r="K21" s="23">
        <f t="shared" si="1"/>
        <v>0</v>
      </c>
    </row>
    <row r="22" spans="1:11" ht="23.25" x14ac:dyDescent="0.35">
      <c r="A22" s="85"/>
      <c r="B22" s="10" t="s">
        <v>5</v>
      </c>
      <c r="C22" s="24">
        <v>31418.734932453368</v>
      </c>
      <c r="D22" s="24">
        <v>35019.487389479829</v>
      </c>
      <c r="E22" s="20">
        <f t="shared" si="2"/>
        <v>0.10282139247155742</v>
      </c>
      <c r="F22" s="20">
        <f t="shared" si="3"/>
        <v>5.2821392471557413E-2</v>
      </c>
      <c r="G22" s="21">
        <v>13</v>
      </c>
      <c r="H22" s="21">
        <v>285</v>
      </c>
      <c r="I22" s="22">
        <f t="shared" si="4"/>
        <v>1</v>
      </c>
      <c r="J22" s="22">
        <f t="shared" si="5"/>
        <v>298</v>
      </c>
      <c r="K22" s="23">
        <f t="shared" si="1"/>
        <v>5.8976301822870397E-3</v>
      </c>
    </row>
    <row r="23" spans="1:11" ht="23.25" x14ac:dyDescent="0.35">
      <c r="A23" s="85"/>
      <c r="B23" s="10" t="s">
        <v>6</v>
      </c>
      <c r="C23" s="24">
        <v>33836.501721805922</v>
      </c>
      <c r="D23" s="24">
        <v>34719.928999901873</v>
      </c>
      <c r="E23" s="20">
        <f t="shared" si="2"/>
        <v>2.5444386078624977E-2</v>
      </c>
      <c r="F23" s="20">
        <f t="shared" si="3"/>
        <v>0</v>
      </c>
      <c r="G23" s="21">
        <v>17</v>
      </c>
      <c r="H23" s="21">
        <v>448</v>
      </c>
      <c r="I23" s="22">
        <f t="shared" si="4"/>
        <v>1</v>
      </c>
      <c r="J23" s="22">
        <f t="shared" si="5"/>
        <v>465</v>
      </c>
      <c r="K23" s="23">
        <f t="shared" si="1"/>
        <v>0</v>
      </c>
    </row>
    <row r="24" spans="1:11" ht="23.25" customHeight="1" x14ac:dyDescent="0.35">
      <c r="A24" s="85" t="s">
        <v>13</v>
      </c>
      <c r="B24" s="10" t="s">
        <v>7</v>
      </c>
      <c r="C24" s="19">
        <v>45383.539374999993</v>
      </c>
      <c r="D24" s="19">
        <v>47740.007164179093</v>
      </c>
      <c r="E24" s="20">
        <f t="shared" si="2"/>
        <v>4.9360440627399728E-2</v>
      </c>
      <c r="F24" s="20">
        <f t="shared" si="3"/>
        <v>0</v>
      </c>
      <c r="G24" s="21">
        <v>16</v>
      </c>
      <c r="H24" s="21">
        <v>67</v>
      </c>
      <c r="I24" s="22">
        <f t="shared" si="4"/>
        <v>1</v>
      </c>
      <c r="J24" s="22">
        <f t="shared" si="5"/>
        <v>83</v>
      </c>
      <c r="K24" s="23">
        <f t="shared" si="1"/>
        <v>0</v>
      </c>
    </row>
    <row r="25" spans="1:11" ht="23.25" x14ac:dyDescent="0.35">
      <c r="A25" s="85"/>
      <c r="B25" s="10" t="s">
        <v>4</v>
      </c>
      <c r="C25" s="19">
        <v>61306.319778805198</v>
      </c>
      <c r="D25" s="19">
        <v>64745.073357664201</v>
      </c>
      <c r="E25" s="20">
        <f t="shared" si="2"/>
        <v>5.3112204535821106E-2</v>
      </c>
      <c r="F25" s="20">
        <f t="shared" si="3"/>
        <v>3.1122045358211031E-3</v>
      </c>
      <c r="G25" s="21">
        <v>37</v>
      </c>
      <c r="H25" s="21">
        <v>137</v>
      </c>
      <c r="I25" s="22">
        <f t="shared" si="4"/>
        <v>1</v>
      </c>
      <c r="J25" s="22">
        <f t="shared" si="5"/>
        <v>174</v>
      </c>
      <c r="K25" s="23">
        <f t="shared" si="1"/>
        <v>2.0289381387518618E-4</v>
      </c>
    </row>
    <row r="26" spans="1:11" ht="23.25" x14ac:dyDescent="0.35">
      <c r="A26" s="85"/>
      <c r="B26" s="10" t="s">
        <v>5</v>
      </c>
      <c r="C26" s="24">
        <v>65053.247350486134</v>
      </c>
      <c r="D26" s="24">
        <v>77050.25844594599</v>
      </c>
      <c r="E26" s="20">
        <f t="shared" si="2"/>
        <v>0.15570370998659616</v>
      </c>
      <c r="F26" s="20">
        <f t="shared" si="3"/>
        <v>0.10570370998659616</v>
      </c>
      <c r="G26" s="21">
        <v>29</v>
      </c>
      <c r="H26" s="21">
        <v>148</v>
      </c>
      <c r="I26" s="22">
        <f t="shared" si="4"/>
        <v>1</v>
      </c>
      <c r="J26" s="22">
        <f t="shared" si="5"/>
        <v>177</v>
      </c>
      <c r="K26" s="23">
        <f t="shared" si="1"/>
        <v>7.0099500440717576E-3</v>
      </c>
    </row>
    <row r="27" spans="1:11" ht="23.25" x14ac:dyDescent="0.35">
      <c r="A27" s="85"/>
      <c r="B27" s="10" t="s">
        <v>6</v>
      </c>
      <c r="C27" s="24">
        <v>66121.12115384615</v>
      </c>
      <c r="D27" s="24">
        <v>78695.297664804661</v>
      </c>
      <c r="E27" s="20">
        <f t="shared" si="2"/>
        <v>0.15978307324685462</v>
      </c>
      <c r="F27" s="20">
        <f t="shared" si="3"/>
        <v>0.10978307324685461</v>
      </c>
      <c r="G27" s="21">
        <v>26</v>
      </c>
      <c r="H27" s="21">
        <v>144</v>
      </c>
      <c r="I27" s="22">
        <f t="shared" si="4"/>
        <v>1</v>
      </c>
      <c r="J27" s="22">
        <f t="shared" si="5"/>
        <v>170</v>
      </c>
      <c r="K27" s="23">
        <f t="shared" si="1"/>
        <v>6.9925524361053905E-3</v>
      </c>
    </row>
    <row r="28" spans="1:11" ht="36.75" customHeight="1" x14ac:dyDescent="0.25">
      <c r="A28" s="86" t="s">
        <v>29</v>
      </c>
      <c r="B28" s="86"/>
      <c r="C28" s="37">
        <f>SUMPRODUCT(C12:C27,G12:G27)/SUM(G12:G27)</f>
        <v>43762.786870284392</v>
      </c>
      <c r="D28" s="37">
        <f>SUMPRODUCT(D12:D27,H12:H27)/SUM(H12:H27)</f>
        <v>38786.532929698238</v>
      </c>
      <c r="E28" s="38">
        <f>IF(AND(C28&gt;0,D28&gt;0),(D28-C28)/D28," ")</f>
        <v>-0.12829849859500883</v>
      </c>
      <c r="F28" s="39"/>
      <c r="G28" s="87">
        <f>SUM(G12:H27)</f>
        <v>2868</v>
      </c>
      <c r="H28" s="88"/>
      <c r="I28" s="39"/>
      <c r="J28" s="39">
        <f>SUM(J12:J27)</f>
        <v>2669</v>
      </c>
      <c r="K28" s="36">
        <f>SUM(K12:K27)</f>
        <v>2.2304019271060911E-2</v>
      </c>
    </row>
    <row r="30" spans="1:11" s="81" customFormat="1" ht="23.25" x14ac:dyDescent="0.35">
      <c r="A30" s="82" t="s">
        <v>77</v>
      </c>
      <c r="B30" s="82"/>
      <c r="C30" s="82"/>
      <c r="H30" s="82"/>
    </row>
    <row r="31" spans="1:11" s="81" customFormat="1" ht="23.25" x14ac:dyDescent="0.35">
      <c r="A31" s="82" t="s">
        <v>75</v>
      </c>
      <c r="H31" s="82"/>
    </row>
    <row r="32" spans="1:11" ht="23.25" x14ac:dyDescent="0.35">
      <c r="A32" s="12" t="s">
        <v>19</v>
      </c>
      <c r="B32" s="5"/>
      <c r="D32" s="45">
        <f>IF(G28&gt;0,IF(J28&gt;=40%*G28,1,0),"#N/A")</f>
        <v>1</v>
      </c>
      <c r="E32" s="13" t="str">
        <f>IF(D32=1,"Les effectifs valides représentent plus de 40 % des effectifs totaux.",IF(D32=0,"Les effectifs valides représentent moins de 40 % des effectifs totaux."," "))</f>
        <v>Les effectifs valides représentent plus de 40 % des effectifs totaux.</v>
      </c>
      <c r="H32" s="5"/>
    </row>
    <row r="33" spans="1:8" ht="23.25" x14ac:dyDescent="0.35">
      <c r="A33" s="12" t="s">
        <v>17</v>
      </c>
      <c r="B33" s="5"/>
      <c r="D33" s="15">
        <f>IF(D32=1,ABS(ROUND(100*K28,1)),IF(D32=0,"INCALCULABLE","#N/A"))</f>
        <v>2.2000000000000002</v>
      </c>
      <c r="E33" s="13" t="str">
        <f>IF(AND(K28&gt;0,D32=1),"Un écart de rémunération est constaté en faveur des hommes.",IF(AND(K28&lt;0,D32=1),"Un écart de rémunération est constaté en faveur des femmes."," "))</f>
        <v>Un écart de rémunération est constaté en faveur des hommes.</v>
      </c>
      <c r="H33" s="5"/>
    </row>
    <row r="34" spans="1:8" ht="23.25" x14ac:dyDescent="0.35">
      <c r="A34" s="12" t="s">
        <v>18</v>
      </c>
      <c r="B34" s="5"/>
      <c r="D34" s="18">
        <f>VLOOKUP(D33,barèmes!B5:C26,2)</f>
        <v>37</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zoomScale="80" zoomScaleNormal="80" workbookViewId="0">
      <selection activeCell="E25" sqref="E25"/>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5" t="s">
        <v>2</v>
      </c>
      <c r="B7" s="85" t="s">
        <v>47</v>
      </c>
      <c r="C7" s="85"/>
      <c r="D7" s="85" t="s">
        <v>46</v>
      </c>
      <c r="E7" s="90" t="s">
        <v>24</v>
      </c>
      <c r="F7" s="91"/>
      <c r="G7" s="85" t="s">
        <v>8</v>
      </c>
      <c r="H7" s="85" t="s">
        <v>10</v>
      </c>
      <c r="I7" s="85" t="s">
        <v>9</v>
      </c>
    </row>
    <row r="8" spans="1:9" ht="23.25" x14ac:dyDescent="0.25">
      <c r="A8" s="85"/>
      <c r="B8" s="9" t="s">
        <v>0</v>
      </c>
      <c r="C8" s="9" t="s">
        <v>1</v>
      </c>
      <c r="D8" s="85"/>
      <c r="E8" s="9" t="s">
        <v>0</v>
      </c>
      <c r="F8" s="9" t="s">
        <v>1</v>
      </c>
      <c r="G8" s="85"/>
      <c r="H8" s="85"/>
      <c r="I8" s="85"/>
    </row>
    <row r="9" spans="1:9" ht="23.25" customHeight="1" x14ac:dyDescent="0.35">
      <c r="A9" s="9" t="s">
        <v>21</v>
      </c>
      <c r="B9" s="32">
        <v>1</v>
      </c>
      <c r="C9" s="32">
        <v>0.99784482758620685</v>
      </c>
      <c r="D9" s="20">
        <f>IF(AND(C9&gt;=0,B9&gt;=0),C9-B9," ")</f>
        <v>-2.1551724137931494E-3</v>
      </c>
      <c r="E9" s="75">
        <f>SUM('1- écart rémunération'!G12:G15)</f>
        <v>18</v>
      </c>
      <c r="F9" s="75">
        <f>SUM('1- écart rémunération'!H12:H15)</f>
        <v>994</v>
      </c>
      <c r="G9" s="22">
        <f>IF(AND(E9&gt;=10,F9&gt;=10),1,0)</f>
        <v>1</v>
      </c>
      <c r="H9" s="22">
        <f>G9*SUM(E9:F9)</f>
        <v>1012</v>
      </c>
      <c r="I9" s="33">
        <f>IF(G9=1,D9*H9/H$13,0)</f>
        <v>-7.6047227432310567E-4</v>
      </c>
    </row>
    <row r="10" spans="1:9" ht="23.25" customHeight="1" x14ac:dyDescent="0.35">
      <c r="A10" s="9" t="s">
        <v>20</v>
      </c>
      <c r="B10" s="32">
        <v>0.97674418604651159</v>
      </c>
      <c r="C10" s="32">
        <v>1</v>
      </c>
      <c r="D10" s="20">
        <f t="shared" ref="D10:D12" si="0">IF(AND(C10&gt;=0,B10&gt;=0),C10-B10," ")</f>
        <v>2.3255813953488413E-2</v>
      </c>
      <c r="E10" s="75">
        <f>SUM('1- écart rémunération'!G16:G19)</f>
        <v>93</v>
      </c>
      <c r="F10" s="75">
        <f>SUM('1- écart rémunération'!H16:H19)</f>
        <v>20</v>
      </c>
      <c r="G10" s="22">
        <f t="shared" ref="G10:G12" si="1">IF(AND(E10&gt;=10,F10&gt;=10),1,0)</f>
        <v>1</v>
      </c>
      <c r="H10" s="22">
        <f t="shared" ref="H10:H12" si="2">G10*SUM(E10:F10)</f>
        <v>113</v>
      </c>
      <c r="I10" s="33">
        <f t="shared" ref="I10:I12" si="3">IF(G10=1,D10*H10/H$13,0)</f>
        <v>9.162855567448364E-4</v>
      </c>
    </row>
    <row r="11" spans="1:9" ht="23.25" customHeight="1" x14ac:dyDescent="0.35">
      <c r="A11" s="9" t="s">
        <v>39</v>
      </c>
      <c r="B11" s="32">
        <v>1</v>
      </c>
      <c r="C11" s="32">
        <v>0.99245283018867925</v>
      </c>
      <c r="D11" s="20">
        <f t="shared" si="0"/>
        <v>-7.547169811320753E-3</v>
      </c>
      <c r="E11" s="75">
        <f>SUM('1- écart rémunération'!G20:G23)</f>
        <v>54</v>
      </c>
      <c r="F11" s="75">
        <f>SUM('1- écart rémunération'!H20:H23)</f>
        <v>1085</v>
      </c>
      <c r="G11" s="22">
        <f t="shared" si="1"/>
        <v>1</v>
      </c>
      <c r="H11" s="22">
        <f t="shared" si="2"/>
        <v>1139</v>
      </c>
      <c r="I11" s="33">
        <f>IF(G11=1,D11*H11/H$13,0)</f>
        <v>-2.9972895450119724E-3</v>
      </c>
    </row>
    <row r="12" spans="1:9" ht="23.25" customHeight="1" x14ac:dyDescent="0.35">
      <c r="A12" s="9" t="s">
        <v>13</v>
      </c>
      <c r="B12" s="32">
        <v>0.79797979797979801</v>
      </c>
      <c r="C12" s="32">
        <v>0.87789473684210528</v>
      </c>
      <c r="D12" s="20">
        <f t="shared" si="0"/>
        <v>7.9914938862307272E-2</v>
      </c>
      <c r="E12" s="75">
        <f>SUM('1- écart rémunération'!G24:G27)</f>
        <v>108</v>
      </c>
      <c r="F12" s="75">
        <f>SUM('1- écart rémunération'!H24:H27)</f>
        <v>496</v>
      </c>
      <c r="G12" s="22">
        <f t="shared" si="1"/>
        <v>1</v>
      </c>
      <c r="H12" s="22">
        <f t="shared" si="2"/>
        <v>604</v>
      </c>
      <c r="I12" s="33">
        <f t="shared" si="3"/>
        <v>1.6830063832926637E-2</v>
      </c>
    </row>
    <row r="13" spans="1:9" ht="34.5" customHeight="1" x14ac:dyDescent="0.25">
      <c r="A13" s="40" t="s">
        <v>29</v>
      </c>
      <c r="B13" s="41">
        <f>SUMPRODUCT(B9:B12,E9:E12)/SUM(E9:E12)</f>
        <v>0.91215760983202843</v>
      </c>
      <c r="C13" s="41">
        <f>SUMPRODUCT(C9:C12,F9:F12)/SUM(F9:F12)</f>
        <v>0.97268010360273238</v>
      </c>
      <c r="D13" s="38">
        <f>IF(AND(C13&gt;=0,B13&gt;=0),C13-B13," ")</f>
        <v>6.0522493770703956E-2</v>
      </c>
      <c r="E13" s="87">
        <f>SUM(E9:F12)</f>
        <v>2868</v>
      </c>
      <c r="F13" s="88"/>
      <c r="G13" s="39"/>
      <c r="H13" s="39">
        <f>SUM(H9:H12)</f>
        <v>2868</v>
      </c>
      <c r="I13" s="46">
        <f>SUM(I9:I12)</f>
        <v>1.3988587570336395E-2</v>
      </c>
    </row>
    <row r="14" spans="1:9" s="30" customFormat="1" ht="23.25" customHeight="1" x14ac:dyDescent="0.35">
      <c r="A14" s="31" t="s">
        <v>45</v>
      </c>
      <c r="B14" s="26"/>
      <c r="C14" s="26"/>
      <c r="D14" s="27"/>
      <c r="E14" s="28"/>
      <c r="F14" s="28"/>
      <c r="G14" s="28"/>
      <c r="H14" s="28"/>
      <c r="I14" s="29"/>
    </row>
    <row r="16" spans="1:9" ht="23.25" x14ac:dyDescent="0.35">
      <c r="A16" s="12" t="s">
        <v>19</v>
      </c>
      <c r="C16" s="45">
        <f>IF(AND(H13&gt;=40%*E13,OR(B13&gt;0,C13&gt;0)),1,0)</f>
        <v>1</v>
      </c>
      <c r="D16" s="35" t="str">
        <f>IF(C16=1,"Il y a eu des augmentations et les effectifs valides représentent plus de 40 % des effectifs totaux.",IF(OR(B13&gt;0,C13&gt;0),"Les effectifs valides représentent moins de 40 % des effectifs totaux.","Il n'y a pas eu d'augmentations dans l'entreprise."))</f>
        <v>Il y a eu des augmentations et les effectifs valides représentent plus de 40 % des effectifs totaux.</v>
      </c>
      <c r="F16" s="5"/>
    </row>
    <row r="17" spans="1:6" ht="23.25" x14ac:dyDescent="0.35">
      <c r="A17" s="12" t="s">
        <v>68</v>
      </c>
      <c r="C17" s="15">
        <f>IF(C16=1,ABS(ROUND(100*I13,1)),"INCALCULABLE")</f>
        <v>1.4</v>
      </c>
      <c r="D17" s="35" t="str">
        <f>IF(AND(I13&gt;=0.05%,C16=1),"Un écart d'augmentations est constaté en faveur des hommes.",IF(AND(I13&lt;=-0.05%,C16=1),"Un écart d'augmentations est constaté en faveur des femmes."," "))</f>
        <v>Un écart d'augmentations est constaté en faveur des hommes.</v>
      </c>
      <c r="F17" s="5"/>
    </row>
    <row r="18" spans="1:6" ht="23.25" x14ac:dyDescent="0.35">
      <c r="A18" s="12" t="s">
        <v>26</v>
      </c>
      <c r="C18" s="18">
        <f>IF('1- écart rémunération'!D32=1,IF(AND('1- écart rémunération'!D34&lt;MAX(barèmes!C5:C26), SIGN(I13)=-SIGN('1- écart rémunération'!K28)),MAX(barèmes!F5:F8),VLOOKUP(C17,barèmes!E5:F8,2)),VLOOKUP(C17,barèmes!E5:F8,2))</f>
        <v>20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E13:F13"/>
    <mergeCell ref="E7:F7"/>
    <mergeCell ref="G7:G8"/>
    <mergeCell ref="H7:H8"/>
    <mergeCell ref="I7:I8"/>
    <mergeCell ref="A7:A8"/>
    <mergeCell ref="B7:C7"/>
    <mergeCell ref="D7:D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
  <sheetViews>
    <sheetView zoomScale="80" zoomScaleNormal="80" workbookViewId="0">
      <selection activeCell="C9" sqref="C9:C12"/>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5" t="s">
        <v>2</v>
      </c>
      <c r="B7" s="85" t="s">
        <v>48</v>
      </c>
      <c r="C7" s="85"/>
      <c r="D7" s="85" t="s">
        <v>49</v>
      </c>
      <c r="E7" s="90" t="s">
        <v>24</v>
      </c>
      <c r="F7" s="91"/>
      <c r="G7" s="85" t="s">
        <v>8</v>
      </c>
      <c r="H7" s="85" t="s">
        <v>10</v>
      </c>
      <c r="I7" s="85" t="s">
        <v>9</v>
      </c>
    </row>
    <row r="8" spans="1:9" ht="23.25" x14ac:dyDescent="0.25">
      <c r="A8" s="85"/>
      <c r="B8" s="9" t="s">
        <v>0</v>
      </c>
      <c r="C8" s="9" t="s">
        <v>1</v>
      </c>
      <c r="D8" s="85"/>
      <c r="E8" s="9" t="s">
        <v>0</v>
      </c>
      <c r="F8" s="9" t="s">
        <v>1</v>
      </c>
      <c r="G8" s="85"/>
      <c r="H8" s="85"/>
      <c r="I8" s="85"/>
    </row>
    <row r="9" spans="1:9" ht="23.25" customHeight="1" x14ac:dyDescent="0.35">
      <c r="A9" s="9" t="s">
        <v>21</v>
      </c>
      <c r="B9" s="32">
        <v>0</v>
      </c>
      <c r="C9" s="32">
        <v>5.8189655172413791E-2</v>
      </c>
      <c r="D9" s="20">
        <f>IF(AND(C9&gt;=0,B9&gt;=0),C9-B9," ")</f>
        <v>5.8189655172413791E-2</v>
      </c>
      <c r="E9" s="75">
        <f>SUM('1- écart rémunération'!G12:G15)</f>
        <v>18</v>
      </c>
      <c r="F9" s="75">
        <f>SUM('1- écart rémunération'!H12:H15)</f>
        <v>994</v>
      </c>
      <c r="G9" s="22">
        <f>IF(AND(E9&gt;=10,F9&gt;=10),1,0)</f>
        <v>1</v>
      </c>
      <c r="H9" s="22">
        <f>G9*SUM(E9:F9)</f>
        <v>1012</v>
      </c>
      <c r="I9" s="33">
        <f>IF(G9=1,D9*H9/H$13,0)</f>
        <v>2.0532751406723414E-2</v>
      </c>
    </row>
    <row r="10" spans="1:9" ht="23.25" customHeight="1" x14ac:dyDescent="0.35">
      <c r="A10" s="9" t="s">
        <v>20</v>
      </c>
      <c r="B10" s="32">
        <v>2.3255813953488372E-2</v>
      </c>
      <c r="C10" s="32">
        <v>0.16666666666666666</v>
      </c>
      <c r="D10" s="20">
        <f t="shared" ref="D10:D12" si="0">IF(AND(C10&gt;=0,B10&gt;=0),C10-B10," ")</f>
        <v>0.14341085271317827</v>
      </c>
      <c r="E10" s="75">
        <f>SUM('1- écart rémunération'!G16:G19)</f>
        <v>93</v>
      </c>
      <c r="F10" s="75">
        <f>SUM('1- écart rémunération'!H16:H19)</f>
        <v>20</v>
      </c>
      <c r="G10" s="22">
        <f t="shared" ref="G10:G12" si="1">IF(AND(E10&gt;=10,F10&gt;=10),1,0)</f>
        <v>1</v>
      </c>
      <c r="H10" s="22">
        <f t="shared" ref="H10:H12" si="2">G10*SUM(E10:F10)</f>
        <v>113</v>
      </c>
      <c r="I10" s="33">
        <f>IF(G10=1,D10*H10/H$13,0)</f>
        <v>5.6504275999264796E-3</v>
      </c>
    </row>
    <row r="11" spans="1:9" ht="23.25" customHeight="1" x14ac:dyDescent="0.35">
      <c r="A11" s="9" t="s">
        <v>39</v>
      </c>
      <c r="B11" s="32">
        <v>4.0816326530612242E-2</v>
      </c>
      <c r="C11" s="32">
        <v>0.11226415094339623</v>
      </c>
      <c r="D11" s="20">
        <f t="shared" si="0"/>
        <v>7.1447824412783995E-2</v>
      </c>
      <c r="E11" s="75">
        <f>SUM('1- écart rémunération'!G20:G23)</f>
        <v>54</v>
      </c>
      <c r="F11" s="75">
        <f>SUM('1- écart rémunération'!H20:H23)</f>
        <v>1085</v>
      </c>
      <c r="G11" s="22">
        <f t="shared" si="1"/>
        <v>1</v>
      </c>
      <c r="H11" s="22">
        <f t="shared" si="2"/>
        <v>1139</v>
      </c>
      <c r="I11" s="33">
        <f>IF(G11=1,D11*H11/H$13,0)</f>
        <v>2.8374850769233254E-2</v>
      </c>
    </row>
    <row r="12" spans="1:9" ht="23.25" customHeight="1" x14ac:dyDescent="0.35">
      <c r="A12" s="9" t="s">
        <v>13</v>
      </c>
      <c r="B12" s="32">
        <v>8.0808080808080815E-2</v>
      </c>
      <c r="C12" s="32">
        <v>5.894736842105263E-2</v>
      </c>
      <c r="D12" s="20">
        <f t="shared" si="0"/>
        <v>-2.1860712387028185E-2</v>
      </c>
      <c r="E12" s="75">
        <f>SUM('1- écart rémunération'!G24:G27)</f>
        <v>108</v>
      </c>
      <c r="F12" s="75">
        <f>SUM('1- écart rémunération'!H24:H27)</f>
        <v>496</v>
      </c>
      <c r="G12" s="22">
        <f t="shared" si="1"/>
        <v>1</v>
      </c>
      <c r="H12" s="22">
        <f t="shared" si="2"/>
        <v>604</v>
      </c>
      <c r="I12" s="33">
        <f>IF(G12=1,D12*H12/H$13,0)</f>
        <v>-4.6038599308804128E-3</v>
      </c>
    </row>
    <row r="13" spans="1:9" ht="34.5" customHeight="1" x14ac:dyDescent="0.25">
      <c r="A13" s="40" t="s">
        <v>29</v>
      </c>
      <c r="B13" s="41">
        <f>SUMPRODUCT(B9:B12,E9:E12)/SUM(E9:E12)</f>
        <v>4.7963901309890873E-2</v>
      </c>
      <c r="C13" s="41">
        <f>SUMPRODUCT(C9:C12,F9:F12)/SUM(F9:F12)</f>
        <v>8.1779710630111607E-2</v>
      </c>
      <c r="D13" s="38">
        <f>IF(AND(C13&gt;=0,B13&gt;=0),C13-B13," ")</f>
        <v>3.3815809320220734E-2</v>
      </c>
      <c r="E13" s="87">
        <f>SUM(E9:F12)</f>
        <v>2868</v>
      </c>
      <c r="F13" s="88"/>
      <c r="G13" s="39"/>
      <c r="H13" s="39">
        <f>SUM(H9:H12)</f>
        <v>2868</v>
      </c>
      <c r="I13" s="46">
        <f>SUM(I9:I12)</f>
        <v>4.9954169845002727E-2</v>
      </c>
    </row>
    <row r="14" spans="1:9" s="30" customFormat="1" ht="23.25" customHeight="1" x14ac:dyDescent="0.35">
      <c r="A14" s="31"/>
      <c r="B14" s="26"/>
      <c r="C14" s="26"/>
      <c r="D14" s="27"/>
      <c r="E14" s="28"/>
      <c r="F14" s="28"/>
      <c r="G14" s="28"/>
      <c r="H14" s="28"/>
      <c r="I14" s="29"/>
    </row>
    <row r="16" spans="1:9" ht="23.25" x14ac:dyDescent="0.35">
      <c r="A16" s="12" t="s">
        <v>19</v>
      </c>
      <c r="C16" s="45">
        <f>IF(AND(H13&gt;=40%*E13,OR(B13&gt;0,C13&gt;0)),1,0)</f>
        <v>1</v>
      </c>
      <c r="D16" s="35" t="str">
        <f>IF(C16=1,"Il y a eu des promotions et les effectifs valides représentent plus de 40 % des effectifs totaux.",IF(OR(B13&gt;0,C13&gt;0),"Les effectifs valides représentent moins de 40 % des effectifs totaux.","Il n'y a pas eu de promotions dans l'entreprise."))</f>
        <v>Il y a eu des promotions et les effectifs valides représentent plus de 40 % des effectifs totaux.</v>
      </c>
      <c r="F16" s="5"/>
    </row>
    <row r="17" spans="1:6" ht="23.25" x14ac:dyDescent="0.35">
      <c r="A17" s="12" t="s">
        <v>69</v>
      </c>
      <c r="C17" s="15">
        <f>IF(C16=1,ABS(ROUND(100*I13,1)),"INCALCULABLE")</f>
        <v>5</v>
      </c>
      <c r="D17" s="35" t="str">
        <f>IF(AND(I13&gt;=0.05%,C16=1),"Un écart de promotions est constaté en faveur des hommes.",IF(AND(I13&lt;=-0.05%,C16=1),"Un écart de promotions est constaté en faveur des femmes."," "))</f>
        <v>Un écart de promotions est constaté en faveur des hommes.</v>
      </c>
      <c r="F17" s="5"/>
    </row>
    <row r="18" spans="1:6" ht="23.25" x14ac:dyDescent="0.35">
      <c r="A18" s="12" t="s">
        <v>64</v>
      </c>
      <c r="C18" s="18">
        <f>IF('1- écart rémunération'!D32=1,IF(AND('1- écart rémunération'!D34&lt;MAX(barèmes!C5:C26), SIGN(I13)=-SIGN('1- écart rémunération'!K28)),MAX(barèmes!H5:I8),VLOOKUP(C17,barèmes!H5:I8,2)),VLOOKUP(C17,barèmes!H5:I8,2))</f>
        <v>10</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topLeftCell="A5" zoomScale="80" zoomScaleNormal="80" workbookViewId="0">
      <selection activeCell="F9" sqref="F9"/>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2" t="s">
        <v>58</v>
      </c>
      <c r="B1" s="93"/>
      <c r="C1" s="93"/>
      <c r="D1" s="93"/>
      <c r="E1" s="93"/>
      <c r="F1" s="93"/>
      <c r="G1" s="93"/>
      <c r="H1" s="93"/>
      <c r="I1" s="93"/>
      <c r="J1" s="93"/>
      <c r="K1" s="93"/>
      <c r="L1" s="93"/>
      <c r="M1" s="93"/>
    </row>
    <row r="3" spans="1:13" s="81" customFormat="1" ht="21" x14ac:dyDescent="0.35">
      <c r="A3" s="83" t="s">
        <v>72</v>
      </c>
    </row>
    <row r="4" spans="1:13" s="81" customFormat="1" ht="21" x14ac:dyDescent="0.35">
      <c r="A4" s="83" t="s">
        <v>74</v>
      </c>
    </row>
    <row r="6" spans="1:13" ht="74.25" customHeight="1" x14ac:dyDescent="0.25">
      <c r="A6" s="85"/>
      <c r="B6" s="85" t="s">
        <v>80</v>
      </c>
      <c r="C6" s="85"/>
      <c r="D6" s="85" t="s">
        <v>60</v>
      </c>
    </row>
    <row r="7" spans="1:13" ht="23.25" x14ac:dyDescent="0.25">
      <c r="A7" s="85"/>
      <c r="B7" s="9" t="s">
        <v>59</v>
      </c>
      <c r="C7" s="9" t="s">
        <v>83</v>
      </c>
      <c r="D7" s="85"/>
    </row>
    <row r="8" spans="1:13" ht="32.25" customHeight="1" x14ac:dyDescent="0.25">
      <c r="A8" s="40" t="s">
        <v>29</v>
      </c>
      <c r="B8" s="42">
        <v>2</v>
      </c>
      <c r="C8" s="42">
        <v>2</v>
      </c>
      <c r="D8" s="48">
        <f>IF(C12=1, IF(AND(C8&gt;=0,C8&lt;=B8),C8/B8,"ERREUR")," ")</f>
        <v>1</v>
      </c>
    </row>
    <row r="9" spans="1:13" s="30" customFormat="1" ht="128.25" customHeight="1" x14ac:dyDescent="0.35">
      <c r="A9" s="94" t="s">
        <v>81</v>
      </c>
      <c r="B9" s="95"/>
      <c r="C9" s="95"/>
      <c r="D9" s="95"/>
    </row>
    <row r="10" spans="1:13" s="30" customFormat="1" ht="49.5" customHeight="1" x14ac:dyDescent="0.25">
      <c r="A10" s="96" t="s">
        <v>82</v>
      </c>
      <c r="B10" s="97"/>
      <c r="C10" s="97"/>
      <c r="D10" s="97"/>
    </row>
    <row r="12" spans="1:13" ht="23.25" x14ac:dyDescent="0.35">
      <c r="A12" s="12" t="s">
        <v>19</v>
      </c>
      <c r="C12" s="84">
        <f>IF(ISBLANK(B8),"#N/A",IF(B8&gt;0,1,0))</f>
        <v>1</v>
      </c>
      <c r="D12" s="35" t="str">
        <f>IF(C12=1,"Il y a eu au moins un retour de congé maternité avec augmentation pendant ce congé.",IF(C12=0,"Il n'y a pas eu de retour de congé maternité avec augmentation pendant ce congé."," "))</f>
        <v>Il y a eu au moins un retour de congé maternité avec augmentation pendant ce congé.</v>
      </c>
      <c r="E12" s="5"/>
    </row>
    <row r="13" spans="1:13" ht="71.25" customHeight="1" x14ac:dyDescent="0.35">
      <c r="A13" s="98" t="s">
        <v>62</v>
      </c>
      <c r="B13" s="98"/>
      <c r="C13" s="34">
        <f>IF(C12=1,ABS(ROUND(100*D8,1)),IF(C12=0,"INCALCULABLE","#N/A"))</f>
        <v>100</v>
      </c>
      <c r="D13" s="50"/>
      <c r="E13" s="35"/>
    </row>
    <row r="14" spans="1:13" ht="44.25" customHeight="1" x14ac:dyDescent="0.25">
      <c r="A14" s="51" t="s">
        <v>64</v>
      </c>
      <c r="B14" s="52"/>
      <c r="C14" s="53">
        <f>VLOOKUP(C13,barèmes!K5:L6,2)</f>
        <v>15</v>
      </c>
      <c r="D14" s="89" t="str">
        <f>IF(C14=0,"Les salariés de retour de congé maternité ou d’adoption, durant lequel des augmentations sont intervenues, n’ont pas tous été augmentés. Aucun point n’est accordé.",IF(C14=MAX(barèmes!L5:L6),"Tous les salariés de retour de congé maternité ou d’adoption, durant lequel des augmentations sont intervenues, ont été augmentés. Tous les points sont accordés."," "))</f>
        <v>Tous les salariés de retour de congé maternité ou d’adoption, durant lequel des augmentations sont intervenues, ont été augmentés. Tous les points sont accordés.</v>
      </c>
      <c r="E14" s="89"/>
      <c r="F14" s="89"/>
      <c r="G14" s="89"/>
      <c r="H14" s="89"/>
      <c r="I14" s="89"/>
      <c r="J14" s="89"/>
      <c r="K14" s="89"/>
      <c r="L14" s="89"/>
      <c r="M14" s="89"/>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E15" sqref="E15"/>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72</v>
      </c>
    </row>
    <row r="4" spans="1:5" s="81" customFormat="1" ht="21" x14ac:dyDescent="0.35">
      <c r="A4" s="83" t="s">
        <v>74</v>
      </c>
    </row>
    <row r="6" spans="1:5" ht="74.25" customHeight="1" x14ac:dyDescent="0.25">
      <c r="A6" s="85"/>
      <c r="B6" s="90" t="s">
        <v>27</v>
      </c>
      <c r="C6" s="99"/>
      <c r="D6" s="91"/>
      <c r="E6" s="85" t="s">
        <v>30</v>
      </c>
    </row>
    <row r="7" spans="1:5" ht="23.25" x14ac:dyDescent="0.25">
      <c r="A7" s="85"/>
      <c r="B7" s="9" t="s">
        <v>0</v>
      </c>
      <c r="C7" s="9" t="s">
        <v>1</v>
      </c>
      <c r="D7" s="9" t="s">
        <v>12</v>
      </c>
      <c r="E7" s="85"/>
    </row>
    <row r="8" spans="1:5" ht="45" customHeight="1" x14ac:dyDescent="0.25">
      <c r="A8" s="40" t="s">
        <v>29</v>
      </c>
      <c r="B8" s="42">
        <v>0</v>
      </c>
      <c r="C8" s="42">
        <v>10</v>
      </c>
      <c r="D8" s="43">
        <f>B8+C8</f>
        <v>10</v>
      </c>
      <c r="E8" s="44">
        <f>IF(D8=10,MIN(B8,C8),"TOTAL différent de 10")</f>
        <v>0</v>
      </c>
    </row>
    <row r="9" spans="1:5" s="30" customFormat="1" ht="23.25" customHeight="1" x14ac:dyDescent="0.35">
      <c r="A9" s="31" t="s">
        <v>28</v>
      </c>
      <c r="B9" s="26"/>
      <c r="C9" s="26"/>
      <c r="D9" s="26"/>
      <c r="E9" s="27"/>
    </row>
    <row r="11" spans="1:5" ht="68.25" customHeight="1" x14ac:dyDescent="0.35">
      <c r="A11" s="98" t="s">
        <v>33</v>
      </c>
      <c r="B11" s="93"/>
      <c r="C11" s="79">
        <f>E8</f>
        <v>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2" t="s">
        <v>32</v>
      </c>
      <c r="C12" s="80">
        <f>VLOOKUP(C11,barèmes!N5:O7,2)</f>
        <v>0</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2" zoomScale="80" zoomScaleNormal="80" workbookViewId="0">
      <selection activeCell="E24" sqref="E24"/>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70</v>
      </c>
    </row>
    <row r="6" spans="1:6" ht="50.1" customHeight="1" thickTop="1" thickBot="1" x14ac:dyDescent="0.3">
      <c r="A6" s="2" t="s">
        <v>54</v>
      </c>
      <c r="B6" s="54">
        <f>'1- écart rémunération'!D32</f>
        <v>1</v>
      </c>
      <c r="C6" s="55">
        <f>'1- écart rémunération'!D33</f>
        <v>2.2000000000000002</v>
      </c>
      <c r="D6" s="54">
        <f>IF(B6=1,'1- écart rémunération'!D34," ")</f>
        <v>37</v>
      </c>
      <c r="E6" s="61">
        <v>40</v>
      </c>
      <c r="F6" s="61">
        <f>B6*E6</f>
        <v>40</v>
      </c>
    </row>
    <row r="7" spans="1:6" ht="50.1" customHeight="1" thickBot="1" x14ac:dyDescent="0.3">
      <c r="A7" s="3" t="s">
        <v>55</v>
      </c>
      <c r="B7" s="56">
        <f>'2- écart augmentations'!C16</f>
        <v>1</v>
      </c>
      <c r="C7" s="56">
        <f>'2- écart augmentations'!C17</f>
        <v>1.4</v>
      </c>
      <c r="D7" s="56">
        <f>IF(B7=1,'2- écart augmentations'!C18," ")</f>
        <v>20</v>
      </c>
      <c r="E7" s="62">
        <v>20</v>
      </c>
      <c r="F7" s="62">
        <f t="shared" ref="F7:F10" si="0">B7*E7</f>
        <v>20</v>
      </c>
    </row>
    <row r="8" spans="1:6" ht="50.1" customHeight="1" thickBot="1" x14ac:dyDescent="0.3">
      <c r="A8" s="4" t="s">
        <v>56</v>
      </c>
      <c r="B8" s="57">
        <f>'3- écart promotions'!C16</f>
        <v>1</v>
      </c>
      <c r="C8" s="58">
        <f>'3- écart promotions'!C17</f>
        <v>5</v>
      </c>
      <c r="D8" s="57">
        <f>IF(B8=1,'3- écart promotions'!C18," ")</f>
        <v>10</v>
      </c>
      <c r="E8" s="63">
        <v>15</v>
      </c>
      <c r="F8" s="63">
        <f>B8*E8</f>
        <v>15</v>
      </c>
    </row>
    <row r="9" spans="1:6" ht="50.1" customHeight="1" thickBot="1" x14ac:dyDescent="0.3">
      <c r="A9" s="3" t="s">
        <v>63</v>
      </c>
      <c r="B9" s="56">
        <f>'4- AI maternité'!C12</f>
        <v>1</v>
      </c>
      <c r="C9" s="59">
        <f>'4- AI maternité'!C13</f>
        <v>100</v>
      </c>
      <c r="D9" s="59">
        <f>IF(B9=1,'4- AI maternité'!C14," ")</f>
        <v>15</v>
      </c>
      <c r="E9" s="62">
        <v>15</v>
      </c>
      <c r="F9" s="62">
        <f t="shared" si="0"/>
        <v>15</v>
      </c>
    </row>
    <row r="10" spans="1:6" ht="60.75" customHeight="1" x14ac:dyDescent="0.25">
      <c r="A10" s="25" t="s">
        <v>57</v>
      </c>
      <c r="B10" s="60">
        <v>1</v>
      </c>
      <c r="C10" s="60">
        <f>'5- 10 + hautes rému'!C11</f>
        <v>0</v>
      </c>
      <c r="D10" s="60">
        <f>IF(B10=1,'5- 10 + hautes rému'!C12," ")</f>
        <v>0</v>
      </c>
      <c r="E10" s="64">
        <v>10</v>
      </c>
      <c r="F10" s="64">
        <f t="shared" si="0"/>
        <v>10</v>
      </c>
    </row>
    <row r="11" spans="1:6" ht="45" customHeight="1" x14ac:dyDescent="0.25">
      <c r="A11" s="66" t="s">
        <v>66</v>
      </c>
      <c r="B11" s="67"/>
      <c r="C11" s="67"/>
      <c r="D11" s="68">
        <f>SUM(D6:D10)</f>
        <v>82</v>
      </c>
      <c r="E11" s="69"/>
      <c r="F11" s="69">
        <f>SUM(F6:F10)</f>
        <v>100</v>
      </c>
    </row>
    <row r="12" spans="1:6" ht="45" customHeight="1" x14ac:dyDescent="0.25">
      <c r="A12" s="70" t="s">
        <v>65</v>
      </c>
      <c r="B12" s="71"/>
      <c r="C12" s="71"/>
      <c r="D12" s="72">
        <f>IF(F11&gt;=75,D11*100/F11,"INCALCULABLE")</f>
        <v>82</v>
      </c>
      <c r="E12" s="73"/>
      <c r="F12" s="73">
        <v>100</v>
      </c>
    </row>
    <row r="13" spans="1:6" ht="21" x14ac:dyDescent="0.35">
      <c r="A13" s="35" t="str">
        <f>IF(F11&lt;75,"L'index est incalculable car le nombre de points maximum des indicateurs calculables est inférieur à 75.",IF(AND(F11&gt;=75,F11&lt;100),"Le total des indicateurs calculables est ramené sur 100 points en appliquant la règle de la proportionnalité."," "))</f>
        <v xml:space="preserve"> </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9"/>
  <sheetViews>
    <sheetView workbookViewId="0">
      <selection activeCell="C5" sqref="C5:C26"/>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67</v>
      </c>
    </row>
    <row r="3" spans="2:15" ht="81.75" customHeight="1" x14ac:dyDescent="0.25">
      <c r="B3" s="100" t="s">
        <v>51</v>
      </c>
      <c r="C3" s="100"/>
      <c r="E3" s="100" t="s">
        <v>52</v>
      </c>
      <c r="F3" s="100"/>
      <c r="H3" s="101" t="s">
        <v>53</v>
      </c>
      <c r="I3" s="101"/>
      <c r="K3" s="101" t="s">
        <v>61</v>
      </c>
      <c r="L3" s="101"/>
      <c r="N3" s="100" t="s">
        <v>31</v>
      </c>
      <c r="O3" s="100"/>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Renaud VERGER</cp:lastModifiedBy>
  <cp:lastPrinted>2018-12-21T13:20:43Z</cp:lastPrinted>
  <dcterms:created xsi:type="dcterms:W3CDTF">2018-06-27T07:13:52Z</dcterms:created>
  <dcterms:modified xsi:type="dcterms:W3CDTF">2024-02-21T14:46:53Z</dcterms:modified>
</cp:coreProperties>
</file>