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https://hertel-my.sharepoint.com/personal/Renaud_VERGER_altradendel_com/Documents/Bureau/Documents à charger dans Sharepoint/CALCUL INDEX EGAPRO PN/INDEX REU 2026 données 2025/"/>
    </mc:Choice>
  </mc:AlternateContent>
  <xr:revisionPtr revIDLastSave="14" documentId="14_{EEDE6AD5-D428-40DC-B204-61F6F4B2FC29}" xr6:coauthVersionLast="47" xr6:coauthVersionMax="47" xr10:uidLastSave="{9EBC2B94-6003-4FD1-BE9A-C6E0B9A1CCB9}"/>
  <bookViews>
    <workbookView xWindow="-120" yWindow="-120" windowWidth="29040" windowHeight="15720" activeTab="5" xr2:uid="{00000000-000D-0000-FFFF-FFFF00000000}"/>
  </bookViews>
  <sheets>
    <sheet name="1- écart rémunération" sheetId="5" r:id="rId1"/>
    <sheet name="2- écart augmentations" sheetId="9" r:id="rId2"/>
    <sheet name="2 - message" sheetId="13" state="hidden" r:id="rId3"/>
    <sheet name="3- AI maternité" sheetId="12" r:id="rId4"/>
    <sheet name="4- 10 + hautes rému" sheetId="10" r:id="rId5"/>
    <sheet name="index" sheetId="7" r:id="rId6"/>
    <sheet name="barèmes" sheetId="8" r:id="rId7"/>
  </sheets>
  <definedNames>
    <definedName name="_xlnm.Print_Area" localSheetId="0">'1- écart rémunération'!$A$1:$K$33</definedName>
    <definedName name="_xlnm.Print_Area" localSheetId="1">'2- écart augmentations'!$A$1:$M$20</definedName>
    <definedName name="_xlnm.Print_Area" localSheetId="3">'3- AI maternité'!$A$1:$M$14</definedName>
    <definedName name="_xlnm.Print_Area" localSheetId="4">'4- 10 + hautes rému'!$A$1:$M$12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5" l="1"/>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C12" i="12" l="1"/>
  <c r="D9" i="9" l="1"/>
  <c r="E9" i="9"/>
  <c r="D14" i="9" l="1"/>
  <c r="E14" i="9" s="1"/>
  <c r="F9" i="9"/>
  <c r="C9" i="13"/>
  <c r="C6" i="13"/>
  <c r="G28" i="5"/>
  <c r="E22" i="5"/>
  <c r="G9" i="9" l="1"/>
  <c r="I9" i="9" l="1"/>
  <c r="H9" i="9"/>
  <c r="C28" i="5"/>
  <c r="D28" i="5"/>
  <c r="I10" i="9" l="1"/>
  <c r="D15" i="9"/>
  <c r="E15" i="9"/>
  <c r="J9" i="9"/>
  <c r="D16" i="9" s="1"/>
  <c r="E16" i="9"/>
  <c r="D12" i="12"/>
  <c r="E13" i="5"/>
  <c r="F13" i="5" s="1"/>
  <c r="E14" i="5"/>
  <c r="F14" i="5" s="1"/>
  <c r="E15" i="5"/>
  <c r="F15" i="5" s="1"/>
  <c r="E16" i="5"/>
  <c r="F16" i="5" s="1"/>
  <c r="E17" i="5"/>
  <c r="F17" i="5" s="1"/>
  <c r="E18" i="5"/>
  <c r="F18" i="5" s="1"/>
  <c r="E19" i="5"/>
  <c r="F19" i="5" s="1"/>
  <c r="E20" i="5"/>
  <c r="F20" i="5" s="1"/>
  <c r="E21" i="5"/>
  <c r="F21" i="5" s="1"/>
  <c r="F22" i="5"/>
  <c r="E23" i="5"/>
  <c r="F23" i="5" s="1"/>
  <c r="E24" i="5"/>
  <c r="F24" i="5" s="1"/>
  <c r="E25" i="5"/>
  <c r="F25" i="5" s="1"/>
  <c r="E26" i="5"/>
  <c r="F26" i="5" s="1"/>
  <c r="E27" i="5"/>
  <c r="F27" i="5" s="1"/>
  <c r="B8" i="7" l="1"/>
  <c r="D8" i="12"/>
  <c r="B7" i="8"/>
  <c r="B8" i="8" s="1"/>
  <c r="B9" i="8" s="1"/>
  <c r="B10" i="8" s="1"/>
  <c r="B11" i="8" s="1"/>
  <c r="B12" i="8" s="1"/>
  <c r="B13" i="8" s="1"/>
  <c r="B14" i="8" s="1"/>
  <c r="B15" i="8" s="1"/>
  <c r="B16" i="8" s="1"/>
  <c r="B17" i="8" s="1"/>
  <c r="B18" i="8" s="1"/>
  <c r="B19" i="8" s="1"/>
  <c r="B20" i="8" s="1"/>
  <c r="B21" i="8" s="1"/>
  <c r="B22" i="8" s="1"/>
  <c r="B23" i="8" s="1"/>
  <c r="B24" i="8" s="1"/>
  <c r="B25" i="8" s="1"/>
  <c r="B26" i="8" s="1"/>
  <c r="C13" i="12" l="1"/>
  <c r="C8" i="7" s="1"/>
  <c r="F9" i="7"/>
  <c r="D8" i="10"/>
  <c r="E8" i="10" s="1"/>
  <c r="C11" i="10" s="1"/>
  <c r="E12" i="5"/>
  <c r="F12" i="5" s="1"/>
  <c r="E28" i="5"/>
  <c r="D11" i="10" l="1"/>
  <c r="C14" i="12"/>
  <c r="D14" i="12" s="1"/>
  <c r="F8" i="7"/>
  <c r="J28" i="5"/>
  <c r="K14" i="5" s="1"/>
  <c r="K15" i="5" l="1"/>
  <c r="K13" i="5"/>
  <c r="K27" i="5"/>
  <c r="K12" i="5"/>
  <c r="D32" i="5"/>
  <c r="K20" i="5"/>
  <c r="D8" i="7"/>
  <c r="K23" i="5"/>
  <c r="K24" i="5"/>
  <c r="K25" i="5"/>
  <c r="K19" i="5"/>
  <c r="K16" i="5"/>
  <c r="K18" i="5"/>
  <c r="K26" i="5"/>
  <c r="K17" i="5"/>
  <c r="K22" i="5"/>
  <c r="K21" i="5"/>
  <c r="C12" i="10"/>
  <c r="D9" i="7" s="1"/>
  <c r="C9" i="7"/>
  <c r="E32" i="5" l="1"/>
  <c r="B7" i="7"/>
  <c r="C7" i="7" s="1"/>
  <c r="K28" i="5"/>
  <c r="E33" i="5" s="1"/>
  <c r="F7" i="7" l="1"/>
  <c r="D33" i="5"/>
  <c r="D34" i="5" l="1"/>
  <c r="E20" i="9" s="1"/>
  <c r="B6" i="7"/>
  <c r="F6" i="7" l="1"/>
  <c r="F10" i="7" s="1"/>
  <c r="A12" i="7" s="1"/>
  <c r="D18" i="9"/>
  <c r="D19" i="9"/>
  <c r="D6" i="7"/>
  <c r="D20" i="9" l="1"/>
  <c r="D7" i="7" s="1"/>
  <c r="C6" i="7"/>
  <c r="D10" i="7" l="1"/>
  <c r="D1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6105E21-0EA5-45D6-A6F8-ADB6C1526F29}" keepAlive="1" name="Requête - R_retour_congé_mat" description="Connexion à la requête « R_retour_congé_mat » dans le classeur." type="5" refreshedVersion="0" background="1">
    <dbPr connection="Provider=Microsoft.Mashup.OleDb.1;Data Source=$Workbook$;Location=R_retour_congé_mat;Extended Properties=&quot;&quot;" command="SELECT * FROM [R_retour_congé_mat]"/>
  </connection>
</connections>
</file>

<file path=xl/sharedStrings.xml><?xml version="1.0" encoding="utf-8"?>
<sst xmlns="http://schemas.openxmlformats.org/spreadsheetml/2006/main" count="150" uniqueCount="94">
  <si>
    <t>femmes</t>
  </si>
  <si>
    <t>hommes</t>
  </si>
  <si>
    <t>catégorie socioprofessionnelle (CSP)</t>
  </si>
  <si>
    <t>tranche d'âge</t>
  </si>
  <si>
    <t>30 à 39 ans</t>
  </si>
  <si>
    <t>40 à 49 ans</t>
  </si>
  <si>
    <t>50 ans et plus</t>
  </si>
  <si>
    <t>moins de 30 ans</t>
  </si>
  <si>
    <t>validité du groupe (1=oui, 0=non)</t>
  </si>
  <si>
    <t>écart pondéré</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</si>
  <si>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</si>
  <si>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</si>
  <si>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</si>
  <si>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</si>
  <si>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</si>
  <si>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</si>
  <si>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</si>
  <si>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</si>
  <si>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</si>
  <si>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</si>
  <si>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</si>
  <si>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</si>
  <si>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</si>
  <si>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</si>
  <si>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</si>
  <si>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</si>
  <si>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</si>
  <si>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</si>
  <si>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</si>
  <si>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</si>
  <si>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</si>
  <si>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</si>
  <si>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</si>
  <si>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</si>
  <si>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</si>
  <si>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</si>
  <si>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</si>
  <si>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</si>
  <si>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</si>
  <si>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</si>
  <si>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</si>
  <si>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</si>
  <si>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écart de taux d'augmen-tation</t>
  </si>
  <si>
    <t>Indicateur 1 : écart de rémunération (%)</t>
  </si>
  <si>
    <t>Indicateur 2 : écart de taux d'augmentations individuelles (points de %)</t>
  </si>
  <si>
    <t>1- écart de remuneration (en %)</t>
  </si>
  <si>
    <t>total</t>
  </si>
  <si>
    <t>pourcentage de salariés augmentés</t>
  </si>
  <si>
    <t>indicateur de pourcentage de salariés ayant bénéficié d'une augmentation dans l'année suivant leur retour de congé maternité (%) :</t>
  </si>
  <si>
    <t>note obtenue sur 15 :</t>
  </si>
  <si>
    <t>INDEX (sur 100 points)</t>
  </si>
  <si>
    <t>Total des indicateurs calculables</t>
  </si>
  <si>
    <t xml:space="preserve">Ne pas modifier les barèmes des indicateurs.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</si>
  <si>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</si>
  <si>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</si>
  <si>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</si>
  <si>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</si>
  <si>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</si>
  <si>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</si>
  <si>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</si>
  <si>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</si>
  <si>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augmentés au cours de la période de référence *</t>
  </si>
  <si>
    <t>taux d'augmentation</t>
  </si>
  <si>
    <t>Il ne faut comptabiliser les salariés augmentés que parmi ceux qui entrent dans le calcul de l'index.</t>
  </si>
  <si>
    <t>écart absolu de taux d'augmen-tation</t>
  </si>
  <si>
    <t>écart en nombre équivalent de salariés</t>
  </si>
  <si>
    <t>écart absolu de taux d'augmentation (points de %) :</t>
  </si>
  <si>
    <t>note correspondant à l'écart absolu de taux d'augmentation :</t>
  </si>
  <si>
    <t>note correspondant à l'écart en nombre équivalent de salariés :</t>
  </si>
  <si>
    <t>écart en nombre équivalent de salariés :</t>
  </si>
  <si>
    <t>Situation</t>
  </si>
  <si>
    <t>écart en faveur des :</t>
  </si>
  <si>
    <t>Plus petit nombre de salariés :</t>
  </si>
  <si>
    <t>Si ce nombre d'hommes n'avait pas reçu d'augmentation parmi les bénéficiaires, les taux d'augmentation seraient égaux entre hommes et femmes.</t>
  </si>
  <si>
    <t>Si ce nombre de femmes n'avait pas reçu d'augmentation parmi les bénéficiaires, les taux d'augmentation seraient égaux entre hommes et femmes.</t>
  </si>
  <si>
    <t>Si ce nombre de femmes supplémentaires avait bénéficié d'une augmentation, les taux d'augmentation seraient égaux entre hommes et femmes.</t>
  </si>
  <si>
    <t>Si ce nombre d'hommes supplémentaires avait bénéficié d'une augmentation, les taux d'augmentation seraient égaux entre hommes et femmes.</t>
  </si>
  <si>
    <t>aucun</t>
  </si>
  <si>
    <t>égal</t>
  </si>
  <si>
    <t>Message accompagnant l'écart en nombre équivalent de salariés :</t>
  </si>
  <si>
    <t>2- écarts d'augmentations individuelles (en points de % ou en nombre équivalent de salariés)</t>
  </si>
  <si>
    <t>3- pourcentage de salariés augmentés au retour d'un congé maternité (%)</t>
  </si>
  <si>
    <t>4- nombre de salariés du sexe sous-représenté parmi les 10 plus hautes rémunérations</t>
  </si>
  <si>
    <t>Indicateur 3 : pourcentage de salariés ayant bénéficié d'une augmentation dans l'année suivant leur retour de congé maternité (%)</t>
  </si>
  <si>
    <t>Indicateur 4 : nombre de salariés du sexe sous-représenté parmi les 10 plus hautes rémunérations</t>
  </si>
  <si>
    <t>note obtenue sur 35 :</t>
  </si>
  <si>
    <t xml:space="preserve">* Seules les augmentations individuelles du salaire de base sont à prendre en compte, qu'elles correspondent ou non à une promotion. </t>
  </si>
  <si>
    <t>La période de référence retenue pour évaluer la présence d'augmentations peut être allongée à deux ou trois ans. Son caractère pluriannuel peut alors être révisé tous les trois ans</t>
  </si>
  <si>
    <t xml:space="preserve">Les résultats apparaissent dans les cellules jaunes. Ils peuvent être accompagnés de commentaires pour les interpréter. </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</si>
  <si>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</si>
  <si>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3- pourcentage de salariés ayant bénéficié d'une augmentation dans l'année suivant leur retour de congé maternité</t>
  </si>
  <si>
    <t>augmentés**</t>
  </si>
  <si>
    <t>nombre de salariés de retour de congé maternité/adoption*</t>
  </si>
  <si>
    <t>** Les augmentations à prendre en compte sont celles qui sont intervenues soit pendant le congé maternité/adoption, soit à son retour, avant la fin de la période de référence.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</si>
</sst>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2">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3">
    <xf numFmtId="0" fontId="0" fillId="0" borderId="0"/>
    <xf numFmtId="9" fontId="12" fillId="0" borderId="0" applyFont="0" applyFill="0" applyBorder="0" applyAlignment="0" applyProtection="0"/>
    <xf numFmtId="43" fontId="12" fillId="0" borderId="0" applyFont="0" applyFill="0" applyBorder="0" applyAlignment="0" applyProtection="0"/>
  </cellStyleXfs>
  <cellXfs count="105">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Alignment="1" applyProtection="1">
      <alignment horizontal="center" vertical="top" wrapText="1" readingOrder="1"/>
      <protection locked="0"/>
    </xf>
    <xf numFmtId="164" fontId="2" fillId="0" borderId="0" xfId="0" applyNumberFormat="1" applyFont="1" applyAlignment="1" applyProtection="1">
      <alignment horizontal="right" wrapText="1" indent="2" readingOrder="1"/>
      <protection locked="0"/>
    </xf>
    <xf numFmtId="0" fontId="5" fillId="0" borderId="0" xfId="0" applyFont="1" applyAlignment="1">
      <alignment horizontal="center" wrapText="1" readingOrder="1"/>
    </xf>
    <xf numFmtId="0" fontId="6" fillId="0" borderId="0" xfId="0" applyFont="1" applyAlignment="1">
      <alignment horizontal="left" vertical="center" readingOrder="1"/>
    </xf>
    <xf numFmtId="0" fontId="15" fillId="0" borderId="0" xfId="0" applyFont="1"/>
    <xf numFmtId="3" fontId="16" fillId="0" borderId="1" xfId="0" applyNumberFormat="1" applyFont="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Alignment="1">
      <alignment horizontal="left" vertical="center" wrapText="1" readingOrder="1"/>
    </xf>
    <xf numFmtId="0" fontId="10" fillId="4" borderId="0" xfId="0" applyFont="1" applyFill="1" applyAlignment="1">
      <alignment horizontal="right" vertical="center" wrapText="1" indent="5" readingOrder="1"/>
    </xf>
    <xf numFmtId="1" fontId="9" fillId="4" borderId="0" xfId="0" applyNumberFormat="1" applyFont="1" applyFill="1" applyAlignment="1">
      <alignment horizontal="right" vertical="center" wrapText="1" indent="5" readingOrder="1"/>
    </xf>
    <xf numFmtId="0" fontId="9" fillId="4" borderId="0" xfId="0" applyFont="1" applyFill="1" applyAlignment="1">
      <alignment horizontal="right" vertical="center" wrapText="1" indent="8" readingOrder="1"/>
    </xf>
    <xf numFmtId="0" fontId="9" fillId="6" borderId="0" xfId="0" applyFont="1" applyFill="1" applyAlignment="1">
      <alignment horizontal="left" vertical="center" wrapText="1" readingOrder="1"/>
    </xf>
    <xf numFmtId="2" fontId="10"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8" readingOrder="1"/>
    </xf>
    <xf numFmtId="0" fontId="19" fillId="8" borderId="0" xfId="0" applyFont="1" applyFill="1"/>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164" fontId="7" fillId="6" borderId="1" xfId="0" applyNumberFormat="1" applyFont="1" applyFill="1" applyBorder="1" applyAlignment="1">
      <alignment horizontal="center" vertical="center" wrapText="1" readingOrder="1"/>
    </xf>
    <xf numFmtId="164" fontId="0" fillId="0" borderId="0" xfId="1" applyNumberFormat="1" applyFont="1"/>
    <xf numFmtId="164" fontId="2" fillId="6" borderId="1" xfId="1" applyNumberFormat="1" applyFont="1" applyFill="1" applyBorder="1" applyAlignment="1" applyProtection="1">
      <alignment horizontal="center" vertical="center" wrapText="1" readingOrder="1"/>
      <protection locked="0"/>
    </xf>
    <xf numFmtId="164" fontId="5" fillId="5" borderId="7" xfId="1" applyNumberFormat="1" applyFont="1" applyFill="1" applyBorder="1" applyAlignment="1">
      <alignment horizontal="center" vertical="center" wrapText="1" readingOrder="1"/>
    </xf>
    <xf numFmtId="164" fontId="7" fillId="6" borderId="1" xfId="0" applyNumberFormat="1" applyFont="1" applyFill="1" applyBorder="1" applyAlignment="1">
      <alignment horizontal="right" vertical="center" wrapText="1" indent="2"/>
    </xf>
    <xf numFmtId="1" fontId="7" fillId="0" borderId="0" xfId="1" applyNumberFormat="1" applyFont="1" applyFill="1" applyAlignment="1">
      <alignment horizontal="right" indent="2"/>
    </xf>
    <xf numFmtId="165" fontId="16" fillId="6" borderId="1" xfId="0" applyNumberFormat="1" applyFont="1" applyFill="1" applyBorder="1" applyAlignment="1" applyProtection="1">
      <alignment horizontal="right" vertical="center" wrapText="1" indent="2" readingOrder="1"/>
      <protection locked="0"/>
    </xf>
    <xf numFmtId="0" fontId="0" fillId="0" borderId="10" xfId="0" applyBorder="1" applyAlignment="1">
      <alignment vertical="top" wrapText="1"/>
    </xf>
    <xf numFmtId="0" fontId="0" fillId="10" borderId="0" xfId="0" applyFill="1"/>
    <xf numFmtId="165" fontId="10" fillId="4" borderId="5" xfId="0" applyNumberFormat="1" applyFont="1" applyFill="1" applyBorder="1" applyAlignment="1">
      <alignment horizontal="right" vertical="center" wrapText="1" indent="5" readingOrder="1"/>
    </xf>
    <xf numFmtId="1" fontId="2" fillId="11" borderId="1" xfId="0" applyNumberFormat="1" applyFont="1" applyFill="1" applyBorder="1" applyAlignment="1" applyProtection="1">
      <alignment horizontal="right" vertical="center" wrapText="1" indent="2" readingOrder="1"/>
      <protection locked="0"/>
    </xf>
    <xf numFmtId="0" fontId="19" fillId="0" borderId="0" xfId="0" applyFont="1" applyAlignment="1">
      <alignment horizontal="right" indent="2"/>
    </xf>
    <xf numFmtId="165" fontId="7" fillId="0" borderId="0" xfId="1" applyNumberFormat="1" applyFont="1" applyFill="1" applyAlignment="1">
      <alignment horizontal="right" indent="2"/>
    </xf>
    <xf numFmtId="0" fontId="6" fillId="0" borderId="9" xfId="0" applyFont="1" applyBorder="1" applyAlignment="1">
      <alignment horizontal="left" vertical="center" readingOrder="1"/>
    </xf>
    <xf numFmtId="0" fontId="4" fillId="0" borderId="9" xfId="0" applyFont="1" applyBorder="1" applyAlignment="1">
      <alignment horizontal="left" vertical="center" readingOrder="1"/>
    </xf>
    <xf numFmtId="43" fontId="2" fillId="8" borderId="1" xfId="2" applyFont="1" applyFill="1" applyBorder="1" applyAlignment="1" applyProtection="1">
      <alignment horizontal="right" vertical="center" wrapText="1" indent="2" readingOrder="1"/>
      <protection locked="0"/>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1" xfId="0" applyFont="1" applyFill="1" applyBorder="1" applyAlignment="1">
      <alignment horizontal="center" vertical="center" wrapText="1" readingOrder="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5" fillId="0" borderId="0" xfId="0" applyFont="1" applyAlignment="1">
      <alignment horizontal="left"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center" vertical="top"/>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cellXfs>
  <cellStyles count="3">
    <cellStyle name="Milliers" xfId="2" builtinId="3"/>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opLeftCell="A10" zoomScale="80" zoomScaleNormal="80" workbookViewId="0">
      <selection activeCell="F37" sqref="F37"/>
    </sheetView>
  </sheetViews>
  <sheetFormatPr baseColWidth="10" defaultRowHeight="15" x14ac:dyDescent="0.25"/>
  <cols>
    <col min="1" max="1" width="24" customWidth="1"/>
    <col min="2" max="2" width="28.7109375" customWidth="1"/>
    <col min="3" max="3" width="19.42578125" customWidth="1"/>
    <col min="4" max="4" width="22.7109375" customWidth="1"/>
    <col min="5" max="5" width="23.28515625" customWidth="1"/>
    <col min="6" max="6" width="30.140625" customWidth="1"/>
    <col min="7" max="8" width="16.85546875" customWidth="1"/>
    <col min="9" max="9" width="22.140625" customWidth="1"/>
    <col min="10" max="10" width="26.85546875" customWidth="1"/>
    <col min="11" max="11" width="17.140625" customWidth="1"/>
    <col min="12" max="12" width="9.5703125" customWidth="1"/>
  </cols>
  <sheetData>
    <row r="1" spans="1:11" ht="33.75" x14ac:dyDescent="0.25">
      <c r="A1" s="10" t="s">
        <v>40</v>
      </c>
      <c r="D1" s="1"/>
    </row>
    <row r="3" spans="1:11" ht="23.25" x14ac:dyDescent="0.35">
      <c r="A3" s="11" t="s">
        <v>55</v>
      </c>
      <c r="B3" s="66"/>
      <c r="C3" s="66"/>
      <c r="D3" s="66"/>
      <c r="E3" s="66"/>
      <c r="F3" s="66"/>
      <c r="G3" s="66"/>
      <c r="H3" s="66"/>
    </row>
    <row r="4" spans="1:11" ht="23.25" x14ac:dyDescent="0.35">
      <c r="A4" s="11" t="s">
        <v>88</v>
      </c>
      <c r="B4" s="66"/>
      <c r="C4" s="66"/>
      <c r="D4" s="66"/>
      <c r="E4" s="66"/>
      <c r="F4" s="66"/>
      <c r="G4" s="66"/>
      <c r="H4" s="66"/>
    </row>
    <row r="5" spans="1:11" ht="23.25" x14ac:dyDescent="0.35">
      <c r="A5" s="11" t="s">
        <v>56</v>
      </c>
      <c r="B5" s="66"/>
      <c r="C5" s="66"/>
      <c r="D5" s="66"/>
      <c r="E5" s="66"/>
      <c r="F5" s="66"/>
      <c r="G5" s="66"/>
      <c r="H5" s="66"/>
    </row>
    <row r="6" spans="1:11" ht="21" x14ac:dyDescent="0.35">
      <c r="A6" s="7"/>
    </row>
    <row r="7" spans="1:11" ht="21" x14ac:dyDescent="0.35">
      <c r="A7" s="38" t="s">
        <v>33</v>
      </c>
      <c r="B7" s="29"/>
      <c r="C7" s="60" t="s">
        <v>35</v>
      </c>
      <c r="D7" s="29" t="s">
        <v>59</v>
      </c>
    </row>
    <row r="8" spans="1:11" ht="44.25" customHeight="1" x14ac:dyDescent="0.25">
      <c r="A8" s="61" t="s">
        <v>34</v>
      </c>
      <c r="B8" s="62"/>
      <c r="C8" s="63">
        <v>0.05</v>
      </c>
      <c r="D8" s="87" t="s">
        <v>60</v>
      </c>
      <c r="E8" s="87"/>
      <c r="F8" s="87"/>
      <c r="G8" s="87"/>
      <c r="H8" s="87"/>
      <c r="I8" s="87"/>
      <c r="J8" s="87"/>
      <c r="K8" s="87"/>
    </row>
    <row r="10" spans="1:11" ht="45.75" customHeight="1" x14ac:dyDescent="0.25">
      <c r="A10" s="88" t="s">
        <v>2</v>
      </c>
      <c r="B10" s="88" t="s">
        <v>3</v>
      </c>
      <c r="C10" s="88" t="s">
        <v>38</v>
      </c>
      <c r="D10" s="88"/>
      <c r="E10" s="88" t="s">
        <v>39</v>
      </c>
      <c r="F10" s="88" t="s">
        <v>10</v>
      </c>
      <c r="G10" s="89" t="s">
        <v>23</v>
      </c>
      <c r="H10" s="90"/>
      <c r="I10" s="88" t="s">
        <v>8</v>
      </c>
      <c r="J10" s="88" t="s">
        <v>37</v>
      </c>
      <c r="K10" s="88" t="s">
        <v>9</v>
      </c>
    </row>
    <row r="11" spans="1:11" ht="23.25" x14ac:dyDescent="0.25">
      <c r="A11" s="88"/>
      <c r="B11" s="88"/>
      <c r="C11" s="8" t="s">
        <v>0</v>
      </c>
      <c r="D11" s="8" t="s">
        <v>1</v>
      </c>
      <c r="E11" s="88"/>
      <c r="F11" s="88"/>
      <c r="G11" s="8" t="s">
        <v>0</v>
      </c>
      <c r="H11" s="8" t="s">
        <v>1</v>
      </c>
      <c r="I11" s="88"/>
      <c r="J11" s="88"/>
      <c r="K11" s="88"/>
    </row>
    <row r="12" spans="1:11" ht="23.25" customHeight="1" x14ac:dyDescent="0.35">
      <c r="A12" s="88" t="s">
        <v>20</v>
      </c>
      <c r="B12" s="9" t="s">
        <v>7</v>
      </c>
      <c r="C12" s="18"/>
      <c r="D12" s="18">
        <v>25209.796666666665</v>
      </c>
      <c r="E12" s="19" t="str">
        <f>IF(AND(C12&gt;0,D12&gt;0),(D12-C12)/D12," ")</f>
        <v xml:space="preserve"> </v>
      </c>
      <c r="F12" s="19" t="str">
        <f t="shared" ref="F12" si="0">IF(ISNUMBER(E12),SIGN(E12)*MAX(0,ABS(E12)-$C$8)," ")</f>
        <v xml:space="preserve"> </v>
      </c>
      <c r="G12" s="20"/>
      <c r="H12" s="20">
        <v>3</v>
      </c>
      <c r="I12" s="21">
        <f>IF(AND(G12&gt;=3,H12&gt;=3),1,0)</f>
        <v>0</v>
      </c>
      <c r="J12" s="21">
        <f>I12*SUM(G12:H12)</f>
        <v>0</v>
      </c>
      <c r="K12" s="22">
        <f t="shared" ref="K12:K27" si="1">IF(I12=1,F12*J12/J$28,0)</f>
        <v>0</v>
      </c>
    </row>
    <row r="13" spans="1:11" ht="23.25" x14ac:dyDescent="0.35">
      <c r="A13" s="88"/>
      <c r="B13" s="9" t="s">
        <v>4</v>
      </c>
      <c r="C13" s="18">
        <v>23736.495000000003</v>
      </c>
      <c r="D13" s="18">
        <v>27022.76</v>
      </c>
      <c r="E13" s="19">
        <f t="shared" ref="E13:E27" si="2">IF(AND(C13&gt;0,D13&gt;0),(D13-C13)/D13," ")</f>
        <v>0.12161100494546064</v>
      </c>
      <c r="F13" s="19">
        <f t="shared" ref="F13:F27" si="3">IF(ISNUMBER(E13),SIGN(E13)*MAX(0,ABS(E13)-$C$8)," ")</f>
        <v>7.1611004945460632E-2</v>
      </c>
      <c r="G13" s="20">
        <v>2</v>
      </c>
      <c r="H13" s="20">
        <v>2</v>
      </c>
      <c r="I13" s="21">
        <f t="shared" ref="I13:I27" si="4">IF(AND(G13&gt;=3,H13&gt;=3),1,0)</f>
        <v>0</v>
      </c>
      <c r="J13" s="21">
        <f t="shared" ref="J13:J27" si="5">I13*SUM(G13:H13)</f>
        <v>0</v>
      </c>
      <c r="K13" s="22">
        <f t="shared" si="1"/>
        <v>0</v>
      </c>
    </row>
    <row r="14" spans="1:11" ht="23.25" x14ac:dyDescent="0.35">
      <c r="A14" s="88"/>
      <c r="B14" s="9" t="s">
        <v>5</v>
      </c>
      <c r="C14" s="23"/>
      <c r="D14" s="23">
        <v>27152.719285714287</v>
      </c>
      <c r="E14" s="19" t="str">
        <f t="shared" si="2"/>
        <v xml:space="preserve"> </v>
      </c>
      <c r="F14" s="19" t="str">
        <f t="shared" si="3"/>
        <v xml:space="preserve"> </v>
      </c>
      <c r="G14" s="20"/>
      <c r="H14" s="20">
        <v>14</v>
      </c>
      <c r="I14" s="21">
        <f t="shared" si="4"/>
        <v>0</v>
      </c>
      <c r="J14" s="21">
        <f t="shared" si="5"/>
        <v>0</v>
      </c>
      <c r="K14" s="22">
        <f t="shared" si="1"/>
        <v>0</v>
      </c>
    </row>
    <row r="15" spans="1:11" ht="23.25" x14ac:dyDescent="0.35">
      <c r="A15" s="88"/>
      <c r="B15" s="9" t="s">
        <v>6</v>
      </c>
      <c r="C15" s="23"/>
      <c r="D15" s="23">
        <v>26198.124999999996</v>
      </c>
      <c r="E15" s="19" t="str">
        <f t="shared" si="2"/>
        <v xml:space="preserve"> </v>
      </c>
      <c r="F15" s="19" t="str">
        <f t="shared" si="3"/>
        <v xml:space="preserve"> </v>
      </c>
      <c r="G15" s="20"/>
      <c r="H15" s="20">
        <v>6</v>
      </c>
      <c r="I15" s="21">
        <f t="shared" si="4"/>
        <v>0</v>
      </c>
      <c r="J15" s="21">
        <f t="shared" si="5"/>
        <v>0</v>
      </c>
      <c r="K15" s="22">
        <f t="shared" si="1"/>
        <v>0</v>
      </c>
    </row>
    <row r="16" spans="1:11" ht="23.25" customHeight="1" x14ac:dyDescent="0.35">
      <c r="A16" s="88" t="s">
        <v>19</v>
      </c>
      <c r="B16" s="9" t="s">
        <v>7</v>
      </c>
      <c r="C16" s="18">
        <v>28669.57</v>
      </c>
      <c r="D16" s="18"/>
      <c r="E16" s="19" t="str">
        <f t="shared" si="2"/>
        <v xml:space="preserve"> </v>
      </c>
      <c r="F16" s="19" t="str">
        <f t="shared" si="3"/>
        <v xml:space="preserve"> </v>
      </c>
      <c r="G16" s="20"/>
      <c r="H16" s="20"/>
      <c r="I16" s="21">
        <f t="shared" si="4"/>
        <v>0</v>
      </c>
      <c r="J16" s="21">
        <f t="shared" si="5"/>
        <v>0</v>
      </c>
      <c r="K16" s="22">
        <f t="shared" si="1"/>
        <v>0</v>
      </c>
    </row>
    <row r="17" spans="1:11" ht="23.25" x14ac:dyDescent="0.35">
      <c r="A17" s="88"/>
      <c r="B17" s="9" t="s">
        <v>4</v>
      </c>
      <c r="C17" s="18"/>
      <c r="D17" s="18">
        <v>28697.424999999999</v>
      </c>
      <c r="E17" s="19" t="str">
        <f t="shared" si="2"/>
        <v xml:space="preserve"> </v>
      </c>
      <c r="F17" s="19" t="str">
        <f t="shared" si="3"/>
        <v xml:space="preserve"> </v>
      </c>
      <c r="G17" s="20">
        <v>1</v>
      </c>
      <c r="H17" s="20"/>
      <c r="I17" s="21">
        <f t="shared" si="4"/>
        <v>0</v>
      </c>
      <c r="J17" s="21">
        <f t="shared" si="5"/>
        <v>0</v>
      </c>
      <c r="K17" s="22">
        <f t="shared" si="1"/>
        <v>0</v>
      </c>
    </row>
    <row r="18" spans="1:11" ht="23.25" x14ac:dyDescent="0.35">
      <c r="A18" s="88"/>
      <c r="B18" s="9" t="s">
        <v>5</v>
      </c>
      <c r="C18" s="23"/>
      <c r="D18" s="18">
        <v>31150.377142857142</v>
      </c>
      <c r="E18" s="19" t="str">
        <f t="shared" si="2"/>
        <v xml:space="preserve"> </v>
      </c>
      <c r="F18" s="19" t="str">
        <f t="shared" si="3"/>
        <v xml:space="preserve"> </v>
      </c>
      <c r="G18" s="20"/>
      <c r="H18" s="20"/>
      <c r="I18" s="21">
        <f t="shared" si="4"/>
        <v>0</v>
      </c>
      <c r="J18" s="21">
        <f t="shared" si="5"/>
        <v>0</v>
      </c>
      <c r="K18" s="22">
        <f t="shared" si="1"/>
        <v>0</v>
      </c>
    </row>
    <row r="19" spans="1:11" ht="23.25" x14ac:dyDescent="0.35">
      <c r="A19" s="88"/>
      <c r="B19" s="9" t="s">
        <v>6</v>
      </c>
      <c r="C19" s="23"/>
      <c r="D19" s="23">
        <v>33345.567142857144</v>
      </c>
      <c r="E19" s="19" t="str">
        <f t="shared" si="2"/>
        <v xml:space="preserve"> </v>
      </c>
      <c r="F19" s="19" t="str">
        <f t="shared" si="3"/>
        <v xml:space="preserve"> </v>
      </c>
      <c r="G19" s="20"/>
      <c r="H19" s="20"/>
      <c r="I19" s="21">
        <f t="shared" si="4"/>
        <v>0</v>
      </c>
      <c r="J19" s="21">
        <f t="shared" si="5"/>
        <v>0</v>
      </c>
      <c r="K19" s="22">
        <f t="shared" si="1"/>
        <v>0</v>
      </c>
    </row>
    <row r="20" spans="1:11" ht="23.25" customHeight="1" x14ac:dyDescent="0.35">
      <c r="A20" s="88" t="s">
        <v>36</v>
      </c>
      <c r="B20" s="9" t="s">
        <v>7</v>
      </c>
      <c r="C20" s="18">
        <v>29380.660000000003</v>
      </c>
      <c r="D20" s="18">
        <v>35108.930833333325</v>
      </c>
      <c r="E20" s="19">
        <f t="shared" si="2"/>
        <v>0.16315708560098768</v>
      </c>
      <c r="F20" s="19">
        <f t="shared" si="3"/>
        <v>0.11315708560098768</v>
      </c>
      <c r="G20" s="20"/>
      <c r="H20" s="20">
        <v>4</v>
      </c>
      <c r="I20" s="21">
        <f t="shared" si="4"/>
        <v>0</v>
      </c>
      <c r="J20" s="21">
        <f t="shared" si="5"/>
        <v>0</v>
      </c>
      <c r="K20" s="22">
        <f>IF(I20=1,F20*J20/J$28,0)</f>
        <v>0</v>
      </c>
    </row>
    <row r="21" spans="1:11" ht="23.25" x14ac:dyDescent="0.35">
      <c r="A21" s="88"/>
      <c r="B21" s="9" t="s">
        <v>4</v>
      </c>
      <c r="C21" s="18"/>
      <c r="D21" s="18">
        <v>36085.479999999996</v>
      </c>
      <c r="E21" s="19" t="str">
        <f t="shared" si="2"/>
        <v xml:space="preserve"> </v>
      </c>
      <c r="F21" s="19" t="str">
        <f t="shared" si="3"/>
        <v xml:space="preserve"> </v>
      </c>
      <c r="G21" s="20"/>
      <c r="H21" s="20">
        <v>7</v>
      </c>
      <c r="I21" s="21">
        <f t="shared" si="4"/>
        <v>0</v>
      </c>
      <c r="J21" s="21">
        <f t="shared" si="5"/>
        <v>0</v>
      </c>
      <c r="K21" s="22">
        <f t="shared" si="1"/>
        <v>0</v>
      </c>
    </row>
    <row r="22" spans="1:11" ht="23.25" x14ac:dyDescent="0.35">
      <c r="A22" s="88"/>
      <c r="B22" s="9" t="s">
        <v>5</v>
      </c>
      <c r="C22" s="23"/>
      <c r="D22" s="23">
        <v>42506.104999999996</v>
      </c>
      <c r="E22" s="19" t="str">
        <f>IF(AND(C22&gt;0,D22&gt;0),(D22-C22)/D22," ")</f>
        <v xml:space="preserve"> </v>
      </c>
      <c r="F22" s="19" t="str">
        <f t="shared" si="3"/>
        <v xml:space="preserve"> </v>
      </c>
      <c r="G22" s="20"/>
      <c r="H22" s="20">
        <v>14</v>
      </c>
      <c r="I22" s="21">
        <f t="shared" si="4"/>
        <v>0</v>
      </c>
      <c r="J22" s="21">
        <f t="shared" si="5"/>
        <v>0</v>
      </c>
      <c r="K22" s="22">
        <f t="shared" si="1"/>
        <v>0</v>
      </c>
    </row>
    <row r="23" spans="1:11" ht="23.25" x14ac:dyDescent="0.35">
      <c r="A23" s="88"/>
      <c r="B23" s="9" t="s">
        <v>6</v>
      </c>
      <c r="C23" s="23">
        <v>50331.020000000004</v>
      </c>
      <c r="D23" s="23">
        <v>51963.976666666662</v>
      </c>
      <c r="E23" s="19">
        <f t="shared" si="2"/>
        <v>3.1424782540058191E-2</v>
      </c>
      <c r="F23" s="19">
        <f t="shared" si="3"/>
        <v>0</v>
      </c>
      <c r="G23" s="20">
        <v>1</v>
      </c>
      <c r="H23" s="20">
        <v>12</v>
      </c>
      <c r="I23" s="21">
        <f t="shared" si="4"/>
        <v>0</v>
      </c>
      <c r="J23" s="21">
        <f t="shared" si="5"/>
        <v>0</v>
      </c>
      <c r="K23" s="22">
        <f t="shared" si="1"/>
        <v>0</v>
      </c>
    </row>
    <row r="24" spans="1:11" ht="23.25" customHeight="1" x14ac:dyDescent="0.35">
      <c r="A24" s="88" t="s">
        <v>12</v>
      </c>
      <c r="B24" s="9" t="s">
        <v>7</v>
      </c>
      <c r="C24" s="18">
        <v>54048.49</v>
      </c>
      <c r="D24" s="18">
        <v>39595.285000000003</v>
      </c>
      <c r="E24" s="19">
        <f t="shared" si="2"/>
        <v>-0.365023385991539</v>
      </c>
      <c r="F24" s="19">
        <f t="shared" si="3"/>
        <v>-0.31502338599153901</v>
      </c>
      <c r="G24" s="20"/>
      <c r="H24" s="20">
        <v>2</v>
      </c>
      <c r="I24" s="21">
        <f t="shared" si="4"/>
        <v>0</v>
      </c>
      <c r="J24" s="21">
        <f t="shared" si="5"/>
        <v>0</v>
      </c>
      <c r="K24" s="22">
        <f t="shared" si="1"/>
        <v>0</v>
      </c>
    </row>
    <row r="25" spans="1:11" ht="23.25" x14ac:dyDescent="0.35">
      <c r="A25" s="88"/>
      <c r="B25" s="9" t="s">
        <v>4</v>
      </c>
      <c r="C25" s="18">
        <v>57848.78</v>
      </c>
      <c r="D25" s="18">
        <v>59722.400000000009</v>
      </c>
      <c r="E25" s="19">
        <f t="shared" si="2"/>
        <v>3.1372148473604707E-2</v>
      </c>
      <c r="F25" s="19">
        <f t="shared" si="3"/>
        <v>0</v>
      </c>
      <c r="G25" s="20"/>
      <c r="H25" s="20">
        <v>4</v>
      </c>
      <c r="I25" s="21">
        <f t="shared" si="4"/>
        <v>0</v>
      </c>
      <c r="J25" s="21">
        <f t="shared" si="5"/>
        <v>0</v>
      </c>
      <c r="K25" s="22">
        <f t="shared" si="1"/>
        <v>0</v>
      </c>
    </row>
    <row r="26" spans="1:11" ht="23.25" x14ac:dyDescent="0.35">
      <c r="A26" s="88"/>
      <c r="B26" s="9" t="s">
        <v>5</v>
      </c>
      <c r="C26" s="23">
        <v>49807.240000000005</v>
      </c>
      <c r="D26" s="23">
        <v>91305.366666666654</v>
      </c>
      <c r="E26" s="19">
        <f t="shared" si="2"/>
        <v>0.45449822044049243</v>
      </c>
      <c r="F26" s="19">
        <f t="shared" si="3"/>
        <v>0.40449822044049244</v>
      </c>
      <c r="G26" s="20">
        <v>1</v>
      </c>
      <c r="H26" s="20">
        <v>6</v>
      </c>
      <c r="I26" s="21">
        <f t="shared" si="4"/>
        <v>0</v>
      </c>
      <c r="J26" s="21">
        <f t="shared" si="5"/>
        <v>0</v>
      </c>
      <c r="K26" s="22">
        <f t="shared" si="1"/>
        <v>0</v>
      </c>
    </row>
    <row r="27" spans="1:11" ht="23.25" x14ac:dyDescent="0.35">
      <c r="A27" s="88"/>
      <c r="B27" s="9" t="s">
        <v>6</v>
      </c>
      <c r="C27" s="23">
        <v>59825.22</v>
      </c>
      <c r="D27" s="23">
        <v>61331.511999999988</v>
      </c>
      <c r="E27" s="19">
        <f t="shared" si="2"/>
        <v>2.4559838016059134E-2</v>
      </c>
      <c r="F27" s="19">
        <f t="shared" si="3"/>
        <v>0</v>
      </c>
      <c r="G27" s="20">
        <v>2</v>
      </c>
      <c r="H27" s="20">
        <v>2</v>
      </c>
      <c r="I27" s="21">
        <f t="shared" si="4"/>
        <v>0</v>
      </c>
      <c r="J27" s="21">
        <f t="shared" si="5"/>
        <v>0</v>
      </c>
      <c r="K27" s="22">
        <f t="shared" si="1"/>
        <v>0</v>
      </c>
    </row>
    <row r="28" spans="1:11" ht="36.75" customHeight="1" x14ac:dyDescent="0.25">
      <c r="A28" s="91" t="s">
        <v>27</v>
      </c>
      <c r="B28" s="91"/>
      <c r="C28" s="30">
        <f>SUMPRODUCT(C12:C27,G12:G27)/SUM(G12:G27)</f>
        <v>38180.241428571426</v>
      </c>
      <c r="D28" s="30">
        <f>SUMPRODUCT(D12:D27,H12:H27)/SUM(H12:H27)</f>
        <v>42990.321017543858</v>
      </c>
      <c r="E28" s="31">
        <f>IF(AND(C28&gt;0,D28&gt;0),(D28-C28)/D28," ")</f>
        <v>0.11188750107284599</v>
      </c>
      <c r="F28" s="32"/>
      <c r="G28" s="85">
        <f>SUM(G12:H27)</f>
        <v>83</v>
      </c>
      <c r="H28" s="86"/>
      <c r="I28" s="32"/>
      <c r="J28" s="32">
        <f>SUM(J12:J27)</f>
        <v>0</v>
      </c>
      <c r="K28" s="69">
        <f>SUM(K12:K27)</f>
        <v>0</v>
      </c>
    </row>
    <row r="30" spans="1:11" s="66" customFormat="1" ht="23.25" x14ac:dyDescent="0.35">
      <c r="A30" s="67" t="s">
        <v>58</v>
      </c>
      <c r="B30" s="67"/>
      <c r="C30" s="67"/>
      <c r="H30" s="67"/>
    </row>
    <row r="31" spans="1:11" s="66" customFormat="1" ht="23.25" x14ac:dyDescent="0.35">
      <c r="A31" s="67"/>
      <c r="H31" s="67"/>
    </row>
    <row r="32" spans="1:11" ht="23.25" x14ac:dyDescent="0.35">
      <c r="A32" s="11" t="s">
        <v>18</v>
      </c>
      <c r="B32" s="4"/>
      <c r="D32" s="37">
        <f>IF(G28&gt;0,IF(J28&gt;=40%*G28,1,0),"#N/A")</f>
        <v>0</v>
      </c>
      <c r="E32" s="12" t="str">
        <f>IF(D32=1,"Les effectifs valides représentent plus de 40 % des effectifs totaux.",IF(D32=0,"Les effectifs valides représentent moins de 40 % des effectifs totaux."," "))</f>
        <v>Les effectifs valides représentent moins de 40 % des effectifs totaux.</v>
      </c>
      <c r="H32" s="4"/>
    </row>
    <row r="33" spans="1:8" ht="23.25" x14ac:dyDescent="0.35">
      <c r="A33" s="11" t="s">
        <v>16</v>
      </c>
      <c r="B33" s="4"/>
      <c r="D33" s="14" t="str">
        <f>IF(D32=1,ABS(ROUND(100*K28,1)),IF(D32=0,"INCALCULABLE","#N/A"))</f>
        <v>INCALCULABLE</v>
      </c>
      <c r="E33" s="12" t="str">
        <f>IF(AND(K28&gt;0,D32=1),"Un écart de rémunération est constaté en faveur des hommes.",IF(AND(K28&lt;0,D32=1),"Un écart de rémunération est constaté en faveur des femmes."," "))</f>
        <v xml:space="preserve"> </v>
      </c>
      <c r="H33" s="4"/>
    </row>
    <row r="34" spans="1:8" ht="23.25" x14ac:dyDescent="0.35">
      <c r="A34" s="11" t="s">
        <v>17</v>
      </c>
      <c r="B34" s="4"/>
      <c r="D34" s="17" t="e">
        <f>VLOOKUP(D33,barèmes!B5:C26,2)</f>
        <v>#N/A</v>
      </c>
    </row>
  </sheetData>
  <mergeCells count="16">
    <mergeCell ref="A10:A11"/>
    <mergeCell ref="C10:D10"/>
    <mergeCell ref="E10:E11"/>
    <mergeCell ref="B10:B11"/>
    <mergeCell ref="A28:B28"/>
    <mergeCell ref="A20:A23"/>
    <mergeCell ref="A16:A19"/>
    <mergeCell ref="A12:A15"/>
    <mergeCell ref="A24:A27"/>
    <mergeCell ref="G28:H28"/>
    <mergeCell ref="D8:K8"/>
    <mergeCell ref="I10:I11"/>
    <mergeCell ref="K10:K11"/>
    <mergeCell ref="J10:J11"/>
    <mergeCell ref="F10:F11"/>
    <mergeCell ref="G10:H10"/>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zoomScale="80" zoomScaleNormal="80" workbookViewId="0">
      <selection activeCell="C10" sqref="C10"/>
    </sheetView>
  </sheetViews>
  <sheetFormatPr baseColWidth="10" defaultRowHeight="15" x14ac:dyDescent="0.25"/>
  <cols>
    <col min="1" max="1" width="59.7109375" customWidth="1"/>
    <col min="2" max="2" width="19.42578125" customWidth="1"/>
    <col min="3" max="3" width="17.7109375" customWidth="1"/>
    <col min="4" max="4" width="18" customWidth="1"/>
    <col min="5" max="7" width="16.85546875" customWidth="1"/>
    <col min="8" max="8" width="18.85546875" customWidth="1"/>
    <col min="9" max="10" width="21.140625" customWidth="1"/>
    <col min="11" max="11" width="9.5703125" customWidth="1"/>
  </cols>
  <sheetData>
    <row r="1" spans="1:10" ht="33.75" x14ac:dyDescent="0.25">
      <c r="A1" s="10" t="s">
        <v>41</v>
      </c>
      <c r="C1" s="1"/>
    </row>
    <row r="3" spans="1:10" s="66" customFormat="1" ht="21" x14ac:dyDescent="0.35">
      <c r="A3" s="68" t="s">
        <v>55</v>
      </c>
    </row>
    <row r="4" spans="1:10" s="66" customFormat="1" ht="21" x14ac:dyDescent="0.35">
      <c r="A4" s="68" t="s">
        <v>57</v>
      </c>
    </row>
    <row r="5" spans="1:10" s="66" customFormat="1" ht="21" x14ac:dyDescent="0.35">
      <c r="A5" s="68" t="s">
        <v>54</v>
      </c>
    </row>
    <row r="7" spans="1:10" ht="74.25" customHeight="1" x14ac:dyDescent="0.25">
      <c r="A7" s="88"/>
      <c r="B7" s="88" t="s">
        <v>61</v>
      </c>
      <c r="C7" s="88"/>
      <c r="D7" s="89" t="s">
        <v>23</v>
      </c>
      <c r="E7" s="90"/>
      <c r="F7" s="89" t="s">
        <v>62</v>
      </c>
      <c r="G7" s="90"/>
      <c r="H7" s="88" t="s">
        <v>42</v>
      </c>
      <c r="I7" s="88" t="s">
        <v>64</v>
      </c>
      <c r="J7" s="88" t="s">
        <v>65</v>
      </c>
    </row>
    <row r="8" spans="1:10" ht="23.25" x14ac:dyDescent="0.25">
      <c r="A8" s="88"/>
      <c r="B8" s="8" t="s">
        <v>0</v>
      </c>
      <c r="C8" s="8" t="s">
        <v>1</v>
      </c>
      <c r="D8" s="8" t="s">
        <v>0</v>
      </c>
      <c r="E8" s="8" t="s">
        <v>1</v>
      </c>
      <c r="F8" s="8" t="s">
        <v>0</v>
      </c>
      <c r="G8" s="8" t="s">
        <v>1</v>
      </c>
      <c r="H8" s="88"/>
      <c r="I8" s="88"/>
      <c r="J8" s="88"/>
    </row>
    <row r="9" spans="1:10" ht="34.5" customHeight="1" x14ac:dyDescent="0.25">
      <c r="A9" s="33" t="s">
        <v>27</v>
      </c>
      <c r="B9" s="84">
        <v>7</v>
      </c>
      <c r="C9" s="84">
        <v>73</v>
      </c>
      <c r="D9" s="79">
        <f>SUM('1- écart rémunération'!G12:G27)</f>
        <v>7</v>
      </c>
      <c r="E9" s="79">
        <f>SUM('1- écart rémunération'!H12:H27)</f>
        <v>76</v>
      </c>
      <c r="F9" s="72">
        <f>B9/D9</f>
        <v>1</v>
      </c>
      <c r="G9" s="72">
        <f>C9/E9</f>
        <v>0.96052631578947367</v>
      </c>
      <c r="H9" s="72">
        <f>G9-F9</f>
        <v>-3.9473684210526327E-2</v>
      </c>
      <c r="I9" s="73">
        <f>IF(AND(0&lt;=B9,B9&lt;=D9,0&lt;=C9,C9&lt;=E9),ABS(F9-G9),"#VALEUR!")</f>
        <v>3.9473684210526327E-2</v>
      </c>
      <c r="J9" s="75">
        <f>I9*MIN(D9,E9)</f>
        <v>0.27631578947368429</v>
      </c>
    </row>
    <row r="10" spans="1:10" ht="25.5" customHeight="1" x14ac:dyDescent="0.25">
      <c r="A10" s="82" t="s">
        <v>86</v>
      </c>
      <c r="B10" s="82"/>
      <c r="C10" s="82"/>
      <c r="D10" s="82"/>
      <c r="E10" s="82"/>
      <c r="F10" s="82"/>
      <c r="G10" s="82"/>
      <c r="H10" s="82"/>
      <c r="I10" s="83" t="str">
        <f>IF(I9="#VALEUR!","Incohérence dans les nombres de salariés saisis."," ")</f>
        <v xml:space="preserve"> </v>
      </c>
      <c r="J10" s="82"/>
    </row>
    <row r="11" spans="1:10" ht="23.25" customHeight="1" x14ac:dyDescent="0.35">
      <c r="A11" s="28" t="s">
        <v>63</v>
      </c>
      <c r="B11" s="25"/>
      <c r="C11" s="25"/>
      <c r="D11" s="27"/>
      <c r="E11" s="27"/>
      <c r="F11" s="27"/>
      <c r="G11" s="27"/>
      <c r="H11" s="27"/>
      <c r="I11" s="26"/>
      <c r="J11" s="26"/>
    </row>
    <row r="12" spans="1:10" ht="23.25" customHeight="1" x14ac:dyDescent="0.35">
      <c r="A12" s="28" t="s">
        <v>87</v>
      </c>
      <c r="B12" s="25"/>
      <c r="C12" s="25"/>
      <c r="D12" s="27"/>
      <c r="E12" s="27"/>
      <c r="F12" s="27"/>
      <c r="G12" s="27"/>
      <c r="H12" s="27"/>
      <c r="I12" s="26"/>
      <c r="J12" s="26"/>
    </row>
    <row r="14" spans="1:10" ht="23.25" x14ac:dyDescent="0.35">
      <c r="A14" s="11" t="s">
        <v>18</v>
      </c>
      <c r="D14" s="37">
        <f>IF(AND(ISBLANK(B9),ISBLANK(C9)),"#N/A",IF(AND(D9&gt;=5,E9&gt;=5,B9+C9&gt;0),1,0))</f>
        <v>1</v>
      </c>
      <c r="E14" s="29" t="str">
        <f>IF(D14=1,"Il y a eu des augmentations et les effectifs comportent au moins 5 femmes et 5 hommes.",IF(OR(D9&lt;5,E9&lt;5),"Les effectifs comprennent moins de 5 femmes ou moins de 5 hommes.",IF(AND(ISBLANK(B9),ISBLANK(C9))," ","Il n'y a pas eu d'augmentations dans l'entreprise.")))</f>
        <v>Il y a eu des augmentations et les effectifs comportent au moins 5 femmes et 5 hommes.</v>
      </c>
      <c r="F14" s="4"/>
      <c r="G14" s="4"/>
      <c r="H14" s="4"/>
    </row>
    <row r="15" spans="1:10" ht="23.25" x14ac:dyDescent="0.35">
      <c r="A15" s="11" t="s">
        <v>66</v>
      </c>
      <c r="D15" s="14">
        <f>IF(D14=1,ABS(ROUND(100*I9,1)),IF(D14=0,"INCALCULABLE","#N/A"))</f>
        <v>3.9</v>
      </c>
      <c r="E15" s="29" t="str">
        <f>IF(AND(H9&gt;=0.05%,D14=1),"Un écart de taux d'augmentation est constaté en faveur des hommes.",IF(AND(H9&lt;=-0.05%,D14=1),"Un écart de taux d'augmentation est constaté en faveur des femmes."," "))</f>
        <v>Un écart de taux d'augmentation est constaté en faveur des femmes.</v>
      </c>
      <c r="F15" s="4"/>
      <c r="G15" s="4"/>
      <c r="H15" s="4"/>
    </row>
    <row r="16" spans="1:10" ht="23.25" x14ac:dyDescent="0.35">
      <c r="A16" s="11" t="s">
        <v>69</v>
      </c>
      <c r="D16" s="14">
        <f>IF(D14=1,ABS(ROUND(J9,1)),IF(D14=0,"INCALCULABLE","#N/A"))</f>
        <v>0.3</v>
      </c>
      <c r="E16" s="92" t="str">
        <f>IF(AND(D14=1,H9&gt;=0.05%,E9&gt;=D9),'2 - message'!C4,IF(AND(D14=1,H9&gt;=0.05%,E9&lt;D9),'2 - message'!C5,IF(AND(D14=1,H9&lt;=-0.05%,E9&lt;=D9),'2 - message'!C8,IF(AND(D14=1,H9&lt;=-0.05%,D9&lt;E9),'2 - message'!C7," "))))</f>
        <v>Si ce nombre de femmes n'avait pas reçu d'augmentation parmi les bénéficiaires, les taux d'augmentation seraient égaux entre hommes et femmes.</v>
      </c>
      <c r="F16" s="92"/>
      <c r="G16" s="92"/>
      <c r="H16" s="92"/>
      <c r="I16" s="92"/>
      <c r="J16" s="92"/>
    </row>
    <row r="17" spans="1:10" ht="23.25" x14ac:dyDescent="0.35">
      <c r="A17" s="11"/>
      <c r="D17" s="81"/>
      <c r="E17" s="92"/>
      <c r="F17" s="92"/>
      <c r="G17" s="92"/>
      <c r="H17" s="92"/>
      <c r="I17" s="92"/>
      <c r="J17" s="92"/>
    </row>
    <row r="18" spans="1:10" ht="23.25" x14ac:dyDescent="0.35">
      <c r="A18" s="11" t="s">
        <v>67</v>
      </c>
      <c r="D18" s="74">
        <f>IF('1- écart rémunération'!D32=1,IF(AND('1- écart rémunération'!D34&lt;MAX(barèmes!C5:C26), SIGN(H9)=-SIGN('1- écart rémunération'!K28)),MAX(barèmes!F5:F8),VLOOKUP(D15,barèmes!E5:F8,2)),VLOOKUP(D15,barèmes!E5:F8,2))</f>
        <v>25</v>
      </c>
      <c r="E18" s="29"/>
      <c r="F18" s="4"/>
      <c r="G18" s="4"/>
      <c r="H18" s="4"/>
    </row>
    <row r="19" spans="1:10" ht="23.25" x14ac:dyDescent="0.35">
      <c r="A19" s="11" t="s">
        <v>68</v>
      </c>
      <c r="D19" s="74">
        <f>IF('1- écart rémunération'!D32=1,IF(AND('1- écart rémunération'!D34&lt;MAX(barèmes!C5:C26), SIGN(H9)=-SIGN('1- écart rémunération'!K28)),MAX(barèmes!F5:F8),VLOOKUP(D16,barèmes!E5:F8,2)),VLOOKUP(D16,barèmes!E5:F8,2))</f>
        <v>35</v>
      </c>
      <c r="E19" s="29"/>
      <c r="F19" s="4"/>
      <c r="G19" s="4"/>
      <c r="H19" s="4"/>
    </row>
    <row r="20" spans="1:10" ht="23.25" x14ac:dyDescent="0.35">
      <c r="A20" s="11" t="s">
        <v>85</v>
      </c>
      <c r="D20" s="17">
        <f>MAX(D18,D19)</f>
        <v>35</v>
      </c>
      <c r="E20" s="29" t="str">
        <f>IF('1- écart rémunération'!D32=1,IF(AND('1- écart rémunération'!D34&lt;MAX(barèmes!C5:C26), SIGN(H9)=-SIGN('1- écart rémunération'!K28),D15&gt;=0.1),"L'écart d'augmentations réduit l'écart de rémunération. Tous les points sont accordés."," ")," ")</f>
        <v xml:space="preserve"> </v>
      </c>
      <c r="F20" s="4"/>
      <c r="G20" s="4"/>
      <c r="H20" s="4"/>
    </row>
    <row r="24" spans="1:10" x14ac:dyDescent="0.25">
      <c r="B24" s="70"/>
      <c r="C24" s="70"/>
    </row>
  </sheetData>
  <mergeCells count="8">
    <mergeCell ref="A7:A8"/>
    <mergeCell ref="B7:C7"/>
    <mergeCell ref="I7:I8"/>
    <mergeCell ref="E16:J17"/>
    <mergeCell ref="D7:E7"/>
    <mergeCell ref="F7:G7"/>
    <mergeCell ref="H7:H8"/>
    <mergeCell ref="J7:J8"/>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2"/>
  <sheetViews>
    <sheetView workbookViewId="0">
      <selection activeCell="C27" sqref="C27"/>
    </sheetView>
  </sheetViews>
  <sheetFormatPr baseColWidth="10" defaultRowHeight="15" x14ac:dyDescent="0.25"/>
  <cols>
    <col min="1" max="1" width="20.140625" customWidth="1"/>
    <col min="2" max="2" width="17.42578125" customWidth="1"/>
    <col min="3" max="3" width="136" customWidth="1"/>
  </cols>
  <sheetData>
    <row r="2" spans="1:3" x14ac:dyDescent="0.25">
      <c r="A2" s="95" t="s">
        <v>70</v>
      </c>
      <c r="B2" s="95"/>
      <c r="C2" s="93" t="s">
        <v>79</v>
      </c>
    </row>
    <row r="3" spans="1:3" ht="33.75" customHeight="1" x14ac:dyDescent="0.25">
      <c r="A3" s="76" t="s">
        <v>71</v>
      </c>
      <c r="B3" s="76" t="s">
        <v>72</v>
      </c>
      <c r="C3" s="94"/>
    </row>
    <row r="4" spans="1:3" x14ac:dyDescent="0.25">
      <c r="A4" t="s">
        <v>1</v>
      </c>
      <c r="B4" t="s">
        <v>0</v>
      </c>
      <c r="C4" s="77" t="s">
        <v>75</v>
      </c>
    </row>
    <row r="5" spans="1:3" x14ac:dyDescent="0.25">
      <c r="A5" t="s">
        <v>1</v>
      </c>
      <c r="B5" t="s">
        <v>1</v>
      </c>
      <c r="C5" s="77" t="s">
        <v>73</v>
      </c>
    </row>
    <row r="6" spans="1:3" x14ac:dyDescent="0.25">
      <c r="A6" t="s">
        <v>1</v>
      </c>
      <c r="B6" t="s">
        <v>78</v>
      </c>
      <c r="C6" t="str">
        <f>C4</f>
        <v>Si ce nombre de femmes supplémentaires avait bénéficié d'une augmentation, les taux d'augmentation seraient égaux entre hommes et femmes.</v>
      </c>
    </row>
    <row r="7" spans="1:3" x14ac:dyDescent="0.25">
      <c r="A7" t="s">
        <v>0</v>
      </c>
      <c r="B7" t="s">
        <v>0</v>
      </c>
      <c r="C7" s="77" t="s">
        <v>74</v>
      </c>
    </row>
    <row r="8" spans="1:3" x14ac:dyDescent="0.25">
      <c r="A8" t="s">
        <v>0</v>
      </c>
      <c r="B8" t="s">
        <v>1</v>
      </c>
      <c r="C8" s="77" t="s">
        <v>76</v>
      </c>
    </row>
    <row r="9" spans="1:3" x14ac:dyDescent="0.25">
      <c r="A9" t="s">
        <v>0</v>
      </c>
      <c r="B9" t="s">
        <v>78</v>
      </c>
      <c r="C9" t="str">
        <f>C8</f>
        <v>Si ce nombre d'hommes supplémentaires avait bénéficié d'une augmentation, les taux d'augmentation seraient égaux entre hommes et femmes.</v>
      </c>
    </row>
    <row r="10" spans="1:3" x14ac:dyDescent="0.25">
      <c r="A10" t="s">
        <v>77</v>
      </c>
      <c r="B10" t="s">
        <v>0</v>
      </c>
    </row>
    <row r="11" spans="1:3" x14ac:dyDescent="0.25">
      <c r="A11" t="s">
        <v>77</v>
      </c>
      <c r="B11" t="s">
        <v>1</v>
      </c>
    </row>
    <row r="12" spans="1:3" x14ac:dyDescent="0.25">
      <c r="A12" t="s">
        <v>77</v>
      </c>
      <c r="B12" t="s">
        <v>78</v>
      </c>
    </row>
  </sheetData>
  <mergeCells count="2">
    <mergeCell ref="C2:C3"/>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zoomScale="80" zoomScaleNormal="80" workbookViewId="0">
      <selection activeCell="D8" sqref="D8"/>
    </sheetView>
  </sheetViews>
  <sheetFormatPr baseColWidth="10" defaultRowHeight="15" x14ac:dyDescent="0.25"/>
  <cols>
    <col min="1" max="1" width="46.140625" customWidth="1"/>
    <col min="2" max="3" width="24.5703125" customWidth="1"/>
    <col min="4" max="4" width="19.28515625" customWidth="1"/>
    <col min="5" max="5" width="9.5703125" customWidth="1"/>
  </cols>
  <sheetData>
    <row r="1" spans="1:13" ht="71.25" customHeight="1" x14ac:dyDescent="0.25">
      <c r="A1" s="96" t="s">
        <v>90</v>
      </c>
      <c r="B1" s="97"/>
      <c r="C1" s="97"/>
      <c r="D1" s="97"/>
      <c r="E1" s="97"/>
      <c r="F1" s="97"/>
      <c r="G1" s="97"/>
      <c r="H1" s="97"/>
      <c r="I1" s="97"/>
      <c r="J1" s="97"/>
      <c r="K1" s="97"/>
      <c r="L1" s="97"/>
      <c r="M1" s="97"/>
    </row>
    <row r="3" spans="1:13" s="66" customFormat="1" ht="21" x14ac:dyDescent="0.35">
      <c r="A3" s="68" t="s">
        <v>55</v>
      </c>
    </row>
    <row r="4" spans="1:13" s="66" customFormat="1" ht="21" x14ac:dyDescent="0.35">
      <c r="A4" s="68" t="s">
        <v>57</v>
      </c>
    </row>
    <row r="6" spans="1:13" ht="74.25" customHeight="1" x14ac:dyDescent="0.25">
      <c r="A6" s="88"/>
      <c r="B6" s="88" t="s">
        <v>92</v>
      </c>
      <c r="C6" s="88"/>
      <c r="D6" s="88" t="s">
        <v>47</v>
      </c>
    </row>
    <row r="7" spans="1:13" ht="23.25" x14ac:dyDescent="0.25">
      <c r="A7" s="88"/>
      <c r="B7" s="8" t="s">
        <v>46</v>
      </c>
      <c r="C7" s="8" t="s">
        <v>91</v>
      </c>
      <c r="D7" s="88"/>
    </row>
    <row r="8" spans="1:13" ht="32.25" customHeight="1" x14ac:dyDescent="0.25">
      <c r="A8" s="33" t="s">
        <v>27</v>
      </c>
      <c r="B8" s="34">
        <v>0</v>
      </c>
      <c r="C8" s="34">
        <v>0</v>
      </c>
      <c r="D8" s="71" t="str">
        <f>IF(C12=1, IF(AND(C8&gt;=0,C8&lt;=B8),C8/B8,"ERREUR")," ")</f>
        <v xml:space="preserve"> </v>
      </c>
    </row>
    <row r="9" spans="1:13" ht="129" customHeight="1" x14ac:dyDescent="0.35">
      <c r="A9" s="98" t="s">
        <v>89</v>
      </c>
      <c r="B9" s="99"/>
      <c r="C9" s="99"/>
      <c r="D9" s="99"/>
    </row>
    <row r="10" spans="1:13" ht="51" customHeight="1" x14ac:dyDescent="0.25">
      <c r="A10" s="100" t="s">
        <v>93</v>
      </c>
      <c r="B10" s="101"/>
      <c r="C10" s="101"/>
      <c r="D10" s="101"/>
    </row>
    <row r="12" spans="1:13" ht="23.25" x14ac:dyDescent="0.35">
      <c r="A12" s="11" t="s">
        <v>18</v>
      </c>
      <c r="C12" s="80">
        <f>IF(ISBLANK(B8),"#N/A",IF(B8&gt;0,1,0))</f>
        <v>0</v>
      </c>
      <c r="D12" s="29" t="str">
        <f>IF(C12=1,"Il y a eu au moins un retour de congé maternité avec augmentation pendant ce congé.",IF(C12=0,"Il n'y a pas eu de retour de congé maternité avec augmentation pendant ce congé."," "))</f>
        <v>Il n'y a pas eu de retour de congé maternité avec augmentation pendant ce congé.</v>
      </c>
      <c r="E12" s="4"/>
    </row>
    <row r="13" spans="1:13" ht="71.25" customHeight="1" x14ac:dyDescent="0.35">
      <c r="A13" s="102" t="s">
        <v>48</v>
      </c>
      <c r="B13" s="102"/>
      <c r="C13" s="14" t="str">
        <f>IF(C12=1,ABS(ROUND(100*D8,1)),IF(C12=0,"INCALCULABLE","#N/A"))</f>
        <v>INCALCULABLE</v>
      </c>
      <c r="D13" s="39"/>
      <c r="E13" s="29"/>
    </row>
    <row r="14" spans="1:13" ht="44.25" customHeight="1" x14ac:dyDescent="0.25">
      <c r="A14" s="40" t="s">
        <v>49</v>
      </c>
      <c r="B14" s="41"/>
      <c r="C14" s="42" t="e">
        <f>VLOOKUP(C13,barèmes!H5:I6,2)</f>
        <v>#N/A</v>
      </c>
      <c r="D14" s="87" t="e">
        <f>IF(C14=0,"Les salariés de retour de congé maternité ou d’adoption, durant lequel des augmentations sont intervenues, n’ont pas tous été augmentés. Aucun point n’est accordé.",IF(C14=MAX(barèmes!I5:I6),"Tous les salariés de retour de congé maternité ou d’adoption, durant lequel des augmentations sont intervenues, ont été augmentés. Tous les points sont accordés."," "))</f>
        <v>#N/A</v>
      </c>
      <c r="E14" s="87"/>
      <c r="F14" s="87"/>
      <c r="G14" s="87"/>
      <c r="H14" s="87"/>
      <c r="I14" s="87"/>
      <c r="J14" s="87"/>
      <c r="K14" s="87"/>
      <c r="L14" s="87"/>
      <c r="M14" s="87"/>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80" zoomScaleNormal="80" workbookViewId="0">
      <selection activeCell="F27" sqref="F27"/>
    </sheetView>
  </sheetViews>
  <sheetFormatPr baseColWidth="10" defaultRowHeight="15" x14ac:dyDescent="0.25"/>
  <cols>
    <col min="1" max="1" width="46.140625" customWidth="1"/>
    <col min="2" max="4" width="18.140625" customWidth="1"/>
    <col min="5" max="5" width="26.85546875" customWidth="1"/>
    <col min="6" max="6" width="9.5703125" customWidth="1"/>
  </cols>
  <sheetData>
    <row r="1" spans="1:5" ht="33.75" x14ac:dyDescent="0.25">
      <c r="A1" s="10" t="s">
        <v>82</v>
      </c>
      <c r="C1" s="1"/>
      <c r="D1" s="1"/>
    </row>
    <row r="3" spans="1:5" s="66" customFormat="1" ht="21" x14ac:dyDescent="0.35">
      <c r="A3" s="68" t="s">
        <v>55</v>
      </c>
    </row>
    <row r="4" spans="1:5" s="66" customFormat="1" ht="21" x14ac:dyDescent="0.35">
      <c r="A4" s="68" t="s">
        <v>57</v>
      </c>
    </row>
    <row r="6" spans="1:5" ht="74.25" customHeight="1" x14ac:dyDescent="0.25">
      <c r="A6" s="88"/>
      <c r="B6" s="89" t="s">
        <v>25</v>
      </c>
      <c r="C6" s="103"/>
      <c r="D6" s="90"/>
      <c r="E6" s="88" t="s">
        <v>28</v>
      </c>
    </row>
    <row r="7" spans="1:5" ht="23.25" x14ac:dyDescent="0.25">
      <c r="A7" s="88"/>
      <c r="B7" s="8" t="s">
        <v>0</v>
      </c>
      <c r="C7" s="8" t="s">
        <v>1</v>
      </c>
      <c r="D7" s="8" t="s">
        <v>11</v>
      </c>
      <c r="E7" s="88"/>
    </row>
    <row r="8" spans="1:5" ht="45" customHeight="1" x14ac:dyDescent="0.25">
      <c r="A8" s="33" t="s">
        <v>27</v>
      </c>
      <c r="B8" s="34">
        <v>2</v>
      </c>
      <c r="C8" s="34">
        <v>8</v>
      </c>
      <c r="D8" s="35">
        <f>B8+C8</f>
        <v>10</v>
      </c>
      <c r="E8" s="36">
        <f>IF(D8=10,MIN(B8,C8),"TOTAL différent de 10")</f>
        <v>2</v>
      </c>
    </row>
    <row r="9" spans="1:5" ht="23.25" customHeight="1" x14ac:dyDescent="0.35">
      <c r="A9" s="28" t="s">
        <v>26</v>
      </c>
      <c r="B9" s="25"/>
      <c r="C9" s="25"/>
      <c r="D9" s="25"/>
      <c r="E9" s="26"/>
    </row>
    <row r="11" spans="1:5" ht="68.25" customHeight="1" x14ac:dyDescent="0.35">
      <c r="A11" s="102" t="s">
        <v>30</v>
      </c>
      <c r="B11" s="97"/>
      <c r="C11" s="64">
        <f>E8</f>
        <v>2</v>
      </c>
      <c r="D11" s="29" t="str">
        <f>IF(D8=10,IF(B8&gt;C8,"Les hommes sont sous-représentés parmi les salariés les mieux rémunérés.",IF(C8&gt;B8,"Les femmes sont sous-représentées parmi les salariés les mieux rémunérés.","Les hommes et les femmes sont à parité parmi les salariés les mieux rémunérés."))," ")</f>
        <v>Les femmes sont sous-représentées parmi les salariés les mieux rémunérés.</v>
      </c>
    </row>
    <row r="12" spans="1:5" ht="23.25" x14ac:dyDescent="0.35">
      <c r="A12" s="11" t="s">
        <v>29</v>
      </c>
      <c r="C12" s="65">
        <f>VLOOKUP(C11,barèmes!K5:L7,2)</f>
        <v>5</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tabSelected="1" zoomScale="80" zoomScaleNormal="80" workbookViewId="0">
      <selection activeCell="E18" sqref="E18"/>
    </sheetView>
  </sheetViews>
  <sheetFormatPr baseColWidth="10" defaultRowHeight="15" x14ac:dyDescent="0.25"/>
  <cols>
    <col min="1" max="1" width="48.5703125" customWidth="1"/>
    <col min="2" max="2" width="20.85546875" customWidth="1"/>
    <col min="3" max="3" width="27.5703125" customWidth="1"/>
    <col min="4" max="4" width="28.140625" customWidth="1"/>
    <col min="5" max="5" width="27.7109375" customWidth="1"/>
    <col min="6" max="6" width="30.7109375" customWidth="1"/>
  </cols>
  <sheetData>
    <row r="1" spans="1:6" ht="35.25" x14ac:dyDescent="0.25">
      <c r="A1" s="51" t="s">
        <v>31</v>
      </c>
    </row>
    <row r="3" spans="1:6" s="66" customFormat="1" ht="23.25" x14ac:dyDescent="0.35">
      <c r="A3" s="11" t="s">
        <v>24</v>
      </c>
      <c r="B3" s="67"/>
    </row>
    <row r="5" spans="1:6" ht="59.25" customHeight="1" thickBot="1" x14ac:dyDescent="0.3">
      <c r="A5" s="6"/>
      <c r="B5" s="5" t="s">
        <v>13</v>
      </c>
      <c r="C5" s="5" t="s">
        <v>21</v>
      </c>
      <c r="D5" s="5" t="s">
        <v>32</v>
      </c>
      <c r="E5" s="5" t="s">
        <v>22</v>
      </c>
      <c r="F5" s="5" t="s">
        <v>53</v>
      </c>
    </row>
    <row r="6" spans="1:6" ht="50.1" customHeight="1" thickTop="1" thickBot="1" x14ac:dyDescent="0.3">
      <c r="A6" s="2" t="s">
        <v>45</v>
      </c>
      <c r="B6" s="43">
        <f>'1- écart rémunération'!D32</f>
        <v>0</v>
      </c>
      <c r="C6" s="44" t="str">
        <f>'1- écart rémunération'!D33</f>
        <v>INCALCULABLE</v>
      </c>
      <c r="D6" s="43" t="str">
        <f>IF(B6=1,'1- écart rémunération'!D34," ")</f>
        <v xml:space="preserve"> </v>
      </c>
      <c r="E6" s="48">
        <v>40</v>
      </c>
      <c r="F6" s="48">
        <f>B6*E6</f>
        <v>0</v>
      </c>
    </row>
    <row r="7" spans="1:6" ht="56.25" customHeight="1" thickBot="1" x14ac:dyDescent="0.3">
      <c r="A7" s="3" t="s">
        <v>80</v>
      </c>
      <c r="B7" s="45">
        <f>'2- écart augmentations'!D14</f>
        <v>1</v>
      </c>
      <c r="C7" s="78">
        <f>IF(B7=1,MIN('2- écart augmentations'!D15,'2- écart augmentations'!D16),IF(B7=0,"INCALCULABLE","#N/A"))</f>
        <v>0.3</v>
      </c>
      <c r="D7" s="45">
        <f>IF(B7=1,'2- écart augmentations'!D20," ")</f>
        <v>35</v>
      </c>
      <c r="E7" s="49">
        <v>35</v>
      </c>
      <c r="F7" s="49">
        <f t="shared" ref="F7:F9" si="0">B7*E7</f>
        <v>35</v>
      </c>
    </row>
    <row r="8" spans="1:6" ht="50.1" customHeight="1" thickBot="1" x14ac:dyDescent="0.3">
      <c r="A8" s="3" t="s">
        <v>81</v>
      </c>
      <c r="B8" s="45">
        <f>'3- AI maternité'!C12</f>
        <v>0</v>
      </c>
      <c r="C8" s="46" t="str">
        <f>'3- AI maternité'!C13</f>
        <v>INCALCULABLE</v>
      </c>
      <c r="D8" s="46" t="str">
        <f>IF(B8=1,'3- AI maternité'!C14," ")</f>
        <v xml:space="preserve"> </v>
      </c>
      <c r="E8" s="49">
        <v>15</v>
      </c>
      <c r="F8" s="49">
        <f t="shared" si="0"/>
        <v>0</v>
      </c>
    </row>
    <row r="9" spans="1:6" ht="60.75" customHeight="1" x14ac:dyDescent="0.25">
      <c r="A9" s="24" t="s">
        <v>82</v>
      </c>
      <c r="B9" s="47">
        <v>1</v>
      </c>
      <c r="C9" s="47">
        <f>'4- 10 + hautes rému'!C11</f>
        <v>2</v>
      </c>
      <c r="D9" s="47">
        <f>IF(B9=1,'4- 10 + hautes rému'!C12," ")</f>
        <v>5</v>
      </c>
      <c r="E9" s="50">
        <v>10</v>
      </c>
      <c r="F9" s="50">
        <f t="shared" si="0"/>
        <v>10</v>
      </c>
    </row>
    <row r="10" spans="1:6" ht="45" customHeight="1" x14ac:dyDescent="0.25">
      <c r="A10" s="52" t="s">
        <v>51</v>
      </c>
      <c r="B10" s="53"/>
      <c r="C10" s="53"/>
      <c r="D10" s="54">
        <f>SUM(D6:D9)</f>
        <v>40</v>
      </c>
      <c r="E10" s="55"/>
      <c r="F10" s="55">
        <f>SUM(F6:F9)</f>
        <v>45</v>
      </c>
    </row>
    <row r="11" spans="1:6" ht="45" customHeight="1" x14ac:dyDescent="0.25">
      <c r="A11" s="56" t="s">
        <v>50</v>
      </c>
      <c r="B11" s="57"/>
      <c r="C11" s="57"/>
      <c r="D11" s="58" t="str">
        <f>IF(F10&gt;=75,D10*100/F10,"INCALCULABLE")</f>
        <v>INCALCULABLE</v>
      </c>
      <c r="E11" s="59"/>
      <c r="F11" s="59">
        <v>100</v>
      </c>
    </row>
    <row r="12" spans="1:6" ht="21" x14ac:dyDescent="0.35">
      <c r="A12" s="29" t="str">
        <f>IF(F10&lt;75,"L'index est incalculable car le nombre de points maximum des indicateurs calculables est inférieur à 75.",IF(AND(F10&gt;=75,F10&lt;100),"Le total des indicateurs calculables est ramené sur 100 points en appliquant la règle de la proportionnalité."," "))</f>
        <v>L'index est incalculable car le nombre de points maximum des indicateurs calculables est inférieur à 75.</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29"/>
  <sheetViews>
    <sheetView workbookViewId="0">
      <selection activeCell="H3" sqref="H3:I3"/>
    </sheetView>
  </sheetViews>
  <sheetFormatPr baseColWidth="10" defaultRowHeight="15" x14ac:dyDescent="0.25"/>
  <cols>
    <col min="1" max="1" width="4.28515625" customWidth="1"/>
    <col min="2" max="3" width="13.7109375" customWidth="1"/>
    <col min="4" max="4" width="4.28515625" customWidth="1"/>
    <col min="5" max="6" width="13.7109375" customWidth="1"/>
    <col min="7" max="7" width="4.28515625" customWidth="1"/>
    <col min="8" max="9" width="15.5703125" customWidth="1"/>
    <col min="10" max="10" width="4.28515625" customWidth="1"/>
    <col min="11" max="12" width="15.5703125" customWidth="1"/>
  </cols>
  <sheetData>
    <row r="2" spans="2:12" ht="21" x14ac:dyDescent="0.35">
      <c r="B2" s="38" t="s">
        <v>52</v>
      </c>
    </row>
    <row r="3" spans="2:12" ht="81.75" customHeight="1" x14ac:dyDescent="0.25">
      <c r="B3" s="104" t="s">
        <v>43</v>
      </c>
      <c r="C3" s="104"/>
      <c r="E3" s="104" t="s">
        <v>44</v>
      </c>
      <c r="F3" s="104"/>
      <c r="H3" s="104" t="s">
        <v>83</v>
      </c>
      <c r="I3" s="104"/>
      <c r="K3" s="104" t="s">
        <v>84</v>
      </c>
      <c r="L3" s="104"/>
    </row>
    <row r="4" spans="2:12" x14ac:dyDescent="0.25">
      <c r="B4" t="s">
        <v>14</v>
      </c>
      <c r="C4" t="s">
        <v>15</v>
      </c>
      <c r="E4" t="s">
        <v>14</v>
      </c>
      <c r="F4" t="s">
        <v>15</v>
      </c>
      <c r="H4" t="s">
        <v>14</v>
      </c>
      <c r="I4" t="s">
        <v>15</v>
      </c>
      <c r="K4" t="s">
        <v>14</v>
      </c>
      <c r="L4" t="s">
        <v>15</v>
      </c>
    </row>
    <row r="5" spans="2:12" x14ac:dyDescent="0.25">
      <c r="B5" s="16">
        <v>0</v>
      </c>
      <c r="C5">
        <v>40</v>
      </c>
      <c r="E5" s="16">
        <v>0</v>
      </c>
      <c r="F5">
        <v>35</v>
      </c>
      <c r="H5" s="16">
        <v>0</v>
      </c>
      <c r="I5">
        <v>0</v>
      </c>
      <c r="K5" s="15">
        <v>0</v>
      </c>
      <c r="L5">
        <v>0</v>
      </c>
    </row>
    <row r="6" spans="2:12" x14ac:dyDescent="0.25">
      <c r="B6" s="16">
        <v>0.1</v>
      </c>
      <c r="C6">
        <v>39</v>
      </c>
      <c r="E6" s="16">
        <v>2.1</v>
      </c>
      <c r="F6">
        <v>25</v>
      </c>
      <c r="H6" s="16">
        <v>100</v>
      </c>
      <c r="I6">
        <v>15</v>
      </c>
      <c r="K6" s="15">
        <v>2</v>
      </c>
      <c r="L6">
        <v>5</v>
      </c>
    </row>
    <row r="7" spans="2:12" x14ac:dyDescent="0.25">
      <c r="B7" s="16">
        <f>B6+1</f>
        <v>1.1000000000000001</v>
      </c>
      <c r="C7">
        <v>38</v>
      </c>
      <c r="E7" s="16">
        <v>5.0999999999999996</v>
      </c>
      <c r="F7">
        <v>15</v>
      </c>
      <c r="K7" s="15">
        <v>4</v>
      </c>
      <c r="L7">
        <v>10</v>
      </c>
    </row>
    <row r="8" spans="2:12" x14ac:dyDescent="0.25">
      <c r="B8" s="16">
        <f t="shared" ref="B8:B25" si="0">B7+1</f>
        <v>2.1</v>
      </c>
      <c r="C8">
        <v>37</v>
      </c>
      <c r="E8" s="16">
        <v>10.1</v>
      </c>
      <c r="F8">
        <v>0</v>
      </c>
      <c r="K8" s="15"/>
    </row>
    <row r="9" spans="2:12" x14ac:dyDescent="0.25">
      <c r="B9" s="16">
        <f t="shared" si="0"/>
        <v>3.1</v>
      </c>
      <c r="C9">
        <v>36</v>
      </c>
      <c r="E9" s="16"/>
    </row>
    <row r="10" spans="2:12" x14ac:dyDescent="0.25">
      <c r="B10" s="16">
        <f t="shared" si="0"/>
        <v>4.0999999999999996</v>
      </c>
      <c r="C10">
        <v>35</v>
      </c>
      <c r="E10" s="16"/>
    </row>
    <row r="11" spans="2:12" x14ac:dyDescent="0.25">
      <c r="B11" s="16">
        <f t="shared" si="0"/>
        <v>5.0999999999999996</v>
      </c>
      <c r="C11">
        <v>34</v>
      </c>
      <c r="E11" s="16"/>
    </row>
    <row r="12" spans="2:12" x14ac:dyDescent="0.25">
      <c r="B12" s="16">
        <f t="shared" si="0"/>
        <v>6.1</v>
      </c>
      <c r="C12">
        <v>33</v>
      </c>
      <c r="E12" s="16"/>
    </row>
    <row r="13" spans="2:12" x14ac:dyDescent="0.25">
      <c r="B13" s="16">
        <f t="shared" si="0"/>
        <v>7.1</v>
      </c>
      <c r="C13">
        <v>31</v>
      </c>
      <c r="E13" s="16"/>
    </row>
    <row r="14" spans="2:12" x14ac:dyDescent="0.25">
      <c r="B14" s="16">
        <f t="shared" si="0"/>
        <v>8.1</v>
      </c>
      <c r="C14">
        <v>29</v>
      </c>
      <c r="E14" s="16"/>
    </row>
    <row r="15" spans="2:12" x14ac:dyDescent="0.25">
      <c r="B15" s="16">
        <f t="shared" si="0"/>
        <v>9.1</v>
      </c>
      <c r="C15">
        <v>27</v>
      </c>
      <c r="E15" s="16"/>
    </row>
    <row r="16" spans="2:12" x14ac:dyDescent="0.25">
      <c r="B16" s="16">
        <f t="shared" si="0"/>
        <v>10.1</v>
      </c>
      <c r="C16">
        <v>25</v>
      </c>
      <c r="E16" s="16"/>
    </row>
    <row r="17" spans="2:5" x14ac:dyDescent="0.25">
      <c r="B17" s="16">
        <f t="shared" si="0"/>
        <v>11.1</v>
      </c>
      <c r="C17">
        <v>23</v>
      </c>
      <c r="E17" s="16"/>
    </row>
    <row r="18" spans="2:5" x14ac:dyDescent="0.25">
      <c r="B18" s="16">
        <f t="shared" si="0"/>
        <v>12.1</v>
      </c>
      <c r="C18">
        <v>21</v>
      </c>
      <c r="E18" s="16"/>
    </row>
    <row r="19" spans="2:5" x14ac:dyDescent="0.25">
      <c r="B19" s="16">
        <f t="shared" si="0"/>
        <v>13.1</v>
      </c>
      <c r="C19">
        <v>19</v>
      </c>
      <c r="E19" s="16"/>
    </row>
    <row r="20" spans="2:5" x14ac:dyDescent="0.25">
      <c r="B20" s="16">
        <f t="shared" si="0"/>
        <v>14.1</v>
      </c>
      <c r="C20">
        <v>17</v>
      </c>
      <c r="E20" s="16"/>
    </row>
    <row r="21" spans="2:5" x14ac:dyDescent="0.25">
      <c r="B21" s="16">
        <f t="shared" si="0"/>
        <v>15.1</v>
      </c>
      <c r="C21">
        <v>14</v>
      </c>
      <c r="E21" s="16"/>
    </row>
    <row r="22" spans="2:5" x14ac:dyDescent="0.25">
      <c r="B22" s="16">
        <f t="shared" si="0"/>
        <v>16.100000000000001</v>
      </c>
      <c r="C22">
        <v>11</v>
      </c>
      <c r="E22" s="16"/>
    </row>
    <row r="23" spans="2:5" x14ac:dyDescent="0.25">
      <c r="B23" s="16">
        <f t="shared" si="0"/>
        <v>17.100000000000001</v>
      </c>
      <c r="C23">
        <v>8</v>
      </c>
      <c r="E23" s="16"/>
    </row>
    <row r="24" spans="2:5" x14ac:dyDescent="0.25">
      <c r="B24" s="16">
        <f t="shared" si="0"/>
        <v>18.100000000000001</v>
      </c>
      <c r="C24">
        <v>5</v>
      </c>
      <c r="E24" s="16"/>
    </row>
    <row r="25" spans="2:5" x14ac:dyDescent="0.25">
      <c r="B25" s="16">
        <f t="shared" si="0"/>
        <v>19.100000000000001</v>
      </c>
      <c r="C25">
        <v>2</v>
      </c>
      <c r="E25" s="16"/>
    </row>
    <row r="26" spans="2:5" x14ac:dyDescent="0.25">
      <c r="B26" s="16">
        <f t="shared" ref="B26" si="1">B25+1</f>
        <v>20.100000000000001</v>
      </c>
      <c r="C26">
        <v>0</v>
      </c>
    </row>
    <row r="27" spans="2:5" x14ac:dyDescent="0.25">
      <c r="B27" s="13"/>
    </row>
    <row r="28" spans="2:5" x14ac:dyDescent="0.25">
      <c r="B28" s="13"/>
    </row>
    <row r="29" spans="2:5" x14ac:dyDescent="0.25">
      <c r="B29" s="13"/>
    </row>
  </sheetData>
  <mergeCells count="4">
    <mergeCell ref="B3:C3"/>
    <mergeCell ref="E3:F3"/>
    <mergeCell ref="H3:I3"/>
    <mergeCell ref="K3:L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c7db9d-b89d-42c1-a55e-967c7e456048" xsi:nil="true"/>
    <lcf76f155ced4ddcb4097134ff3c332f xmlns="e88bb429-c3ea-41ef-9189-918bb71298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A11EBB3ACF2B40A5CAB9C22734ED29" ma:contentTypeVersion="13" ma:contentTypeDescription="Crée un document." ma:contentTypeScope="" ma:versionID="48b611aec0d0617da865b07f9d25660b">
  <xsd:schema xmlns:xsd="http://www.w3.org/2001/XMLSchema" xmlns:xs="http://www.w3.org/2001/XMLSchema" xmlns:p="http://schemas.microsoft.com/office/2006/metadata/properties" xmlns:ns2="d7c7db9d-b89d-42c1-a55e-967c7e456048" xmlns:ns3="e88bb429-c3ea-41ef-9189-918bb71298bc" xmlns:ns4="5b993903-18f5-4a0e-bb18-a2f90b3114c2" targetNamespace="http://schemas.microsoft.com/office/2006/metadata/properties" ma:root="true" ma:fieldsID="a6466ebdf41c50eda670acd59030e580" ns2:_="" ns3:_="" ns4:_="">
    <xsd:import namespace="d7c7db9d-b89d-42c1-a55e-967c7e456048"/>
    <xsd:import namespace="e88bb429-c3ea-41ef-9189-918bb71298bc"/>
    <xsd:import namespace="5b993903-18f5-4a0e-bb18-a2f90b3114c2"/>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4:SharedWithUsers" minOccurs="0"/>
                <xsd:element ref="ns4:SharedWithDetail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7db9d-b89d-42c1-a55e-967c7e45604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1871ec5-dd9b-409e-ac4f-29c315503b5e}" ma:internalName="TaxCatchAll" ma:readOnly="false" ma:showField="CatchAllData" ma:web="d7c7db9d-b89d-42c1-a55e-967c7e45604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1871ec5-dd9b-409e-ac4f-29c315503b5e}" ma:internalName="TaxCatchAllLabel" ma:readOnly="true" ma:showField="CatchAllDataLabel" ma:web="d7c7db9d-b89d-42c1-a55e-967c7e4560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8bb429-c3ea-41ef-9189-918bb71298b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ternalName="MediaServiceObjectDetectorVersion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93735cd-8d5b-4ffe-a7a0-af58011c0b0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993903-18f5-4a0e-bb18-a2f90b3114c2"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G o F A A B Q S w M E F A A C A A g A S 4 J Z W g V y b A u k A A A A 9 g A A A B I A H A B D b 2 5 m a W c v U G F j a 2 F n Z S 5 4 b W w g o h g A K K A U A A A A A A A A A A A A A A A A A A A A A A A A A A A A h Y 8 x D o I w G I W v Q r r T l r I o + S m D i Z M k R h P j 2 k C B R i i m L Z a 7 O X g k r y B G U T f H 9 7 1 v e O 9 + v U E 2 d m 1 w k c a q X q c o w h Q F U h d 9 q X S d o s F V 4 Q J l H L a i O I l a B p O s b T L a M k W N c + e E E O 8 9 9 j H u T U 0 Y p R E 5 5 p t 9 0 c h O o I + s / s u h 0 t Y J X U j E 4 f A a w x m O Y o Y Z W 2 I K Z I a Q K / 0 V 2 L T 3 2 f 5 A W A 2 t G 4 z k l Q n X O y B z B P L + w B 9 Q S w M E F A A C A A g A S 4 J Z 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u C W V o c U Y 1 q Z A I A A J A F A A A T A B w A R m 9 y b X V s Y X M v U 2 V j d G l v b j E u b S C i G A A o o B Q A A A A A A A A A A A A A A A A A A A A A A A A A A A B 1 V M F y 2 j A Q v T P D P + z Q A z a j E k h 7 o + l U 2 K Z l B m x i m U O S y T C q L R p 3 j N 3 K I p 1 + U r 4 j P 9 a V D L U N h I N 2 1 y v p 7 b 6 3 o h S x S o s c W G X H k 2 6 n 2 y m f u B Q J h B s p V L G X m 7 j I f 7 y + b H Z c w Q 1 k Q n U 7 g D + G q V j g F / Y 7 G 7 p c 8 e + 8 F F b v W 7 g K X X a 7 G H 3 o E c B o j C F 6 D 7 d 7 I f / e 9 E q h Q E m e l 7 w C T s s i 4 8 b L x L P I Q A q e w D 6 P i 9 0 u V U o k k 3 d W t r X N 4 n r O g o Y e f H F p 5 G 1 C b w a 8 h I Q r X Y M 2 W 1 n s f n G p S u t 6 d P 2 R j M n Y b p z + k 6 q n O q J 4 1 j h W K T L s H f y 1 G z B G A H t 9 F l J Z + k K C Q K 4 3 t a G y 5 8 n Z 3 D d J t A S W Q T S f U T C 3 6 l L g / o 5 + r a C f h B T H f J q D 1 V / S q E 9 w 9 f s 2 8 D y 5 j P r p p t n q h V 0 G / n N j l 0 3 q D s 0 y P W 2 z x d 2 D q 8 l L B M j X l + 3 r i x R 5 L B 4 J 1 u 2 x 4 Z E P E 8 x d b Q j M X e d u N M J W a e Q s P A J + s F w z t K v Q Q / e c H 8 + P D D 9 o z 5 M s C E 0 S r U n G X F l S y X R n V d f b p I o q U N s G D V k N w k G O N v N N 4 j 1 m o j T P h Y S f B X J O A U e M H t r C g W k 0 a b g 1 c V W q J p 4 O q 8 t b O a x U 0 2 1 y W M A p x D 2 W q V G 0 v Q h k D l w N q n G o s d o i 1 z j / v w + u m s I 6 Q F l L 0 + l w c M I u T t 7 a N D O b 2 a i y c f Q 4 r h / f 2 G g m 6 e H Q 8 s n G b V Z w R Z Y R o 4 u r M Q o B x g U g E N 2 t n A D 5 9 1 G v w G 8 N / v q U n K l m Z t q k B Z E b / L 9 d P z K k X e q 6 V o K P u h 7 2 t 8 8 d H 0 Z 9 7 n 3 z 4 L l w T l A J 5 w R 1 h d P 2 e G D K N X 2 e S 3 Z M a v J a z 7 E W 7 S D V A A x B j v n W e 7 S 7 n T R v / p t O / g F Q S w E C L Q A U A A I A C A B L g l l a B X J s C 6 Q A A A D 2 A A A A E g A A A A A A A A A A A A A A A A A A A A A A Q 2 9 u Z m l n L 1 B h Y 2 t h Z 2 U u e G 1 s U E s B A i 0 A F A A C A A g A S 4 J Z W g / K 6 a u k A A A A 6 Q A A A B M A A A A A A A A A A A A A A A A A 8 A A A A F t D b 2 5 0 Z W 5 0 X 1 R 5 c G V z X S 5 4 b W x Q S w E C L Q A U A A I A C A B L g l l a H F G N a m Q C A A C Q B Q A A E w A A A A A A A A A A A A A A A A D h A Q A A R m 9 y b X V s Y X M v U 2 V j d G l v b j E u b V B L B Q Y A A A A A A w A D A M I A A A C S 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o E w A A A A A A A A Y 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S X 3 J l d G 9 1 c l 9 j b 2 5 n J U M z J U E 5 X 2 1 h d D w v S X R l b V B h d G g + P C 9 J d G V t T G 9 j Y X R p b 2 4 + P F N 0 Y W J s Z U V u d H J p Z X M + P E V u d H J 5 I F R 5 c G U 9 I k l z U H J p d m F 0 Z S I g V m F s d W U 9 I m w w I i A v P j x F b n R y e S B U e X B l P S J R d W V y e U l E I i B W Y W x 1 Z T 0 i c z A 0 M m I 3 M T g 2 L T g 3 Y T U t N G E 3 M S 1 h N D h k L T F k N D V h Y z Z k N T M x 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N S 0 w M i 0 y N V Q x N T o x O D o w M y 4 2 N T M 5 N D I y W i I g L z 4 8 R W 5 0 c n k g V H l w Z T 0 i R m l s b E N v b H V t b l R 5 c G V z I i B W Y W x 1 Z T 0 i c 0 J 3 S U V C Z 1 l H Q m d j S E J n Y 0 h C Z 2 N I Q l F Z R y I g L z 4 8 R W 5 0 c n k g V H l w Z T 0 i R m l s b E N v b H V t b k 5 h b W V z I i B W Y W x 1 Z T 0 i c 1 s m c X V v d D t E Y X R l I G R l I H L D q W b D q X J l b m N l J n F 1 b 3 Q 7 L C Z x d W 9 0 O 0 5 V R E 9 T U y Z x d W 9 0 O y w m c X V v d D t J R F p Z R V M m c X V v d D s s J n F 1 b 3 Q 7 S U R D W T A w J n F 1 b 3 Q 7 L C Z x d W 9 0 O 0 1 B V E N M R S Z x d W 9 0 O y w m c X V v d D t O T 0 1 V U 0 U m c X V v d D s s J n F 1 b 3 Q 7 U F J F T k 9 N J n F 1 b 3 Q 7 L C Z x d W 9 0 O 0 R B V E V O V C Z x d W 9 0 O y w m c X V v d D t E Q V R T T 1 I m c X V v d D s s J n F 1 b 3 Q 7 Q 0 x F J n F 1 b 3 Q 7 L C Z x d W 9 0 O 0 R B V E R F Q i Z x d W 9 0 O y w m c X V v d D t E Q V R G S U 4 m c X V v d D s s J n F 1 b 3 Q 7 T U 9 U S U Z B J n F 1 b 3 Q 7 L C Z x d W 9 0 O 0 R B V E V G R i B a W U F V J n F 1 b 3 Q 7 L C Z x d W 9 0 O 0 R B V E Z J T i B a W U F V J n F 1 b 3 Q 7 L C Z x d W 9 0 O 0 1 U U 0 F M J n F 1 b 3 Q 7 L C Z x d W 9 0 O 1 R Z U E N P T i Z x d W 9 0 O y w m c X V v d D t O Q V R D T 0 4 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U l 9 y Z X R v d X J f Y 2 9 u Z 8 O p X 2 1 h d C 9 B d X R v U m V t b 3 Z l Z E N v b H V t b n M x L n t E Y X R l I G R l I H L D q W b D q X J l b m N l L D B 9 J n F 1 b 3 Q 7 L C Z x d W 9 0 O 1 N l Y 3 R p b 2 4 x L 1 J f c m V 0 b 3 V y X 2 N v b m f D q V 9 t Y X Q v Q X V 0 b 1 J l b W 9 2 Z W R D b 2 x 1 b W 5 z M S 5 7 T l V E T 1 N T L D F 9 J n F 1 b 3 Q 7 L C Z x d W 9 0 O 1 N l Y 3 R p b 2 4 x L 1 J f c m V 0 b 3 V y X 2 N v b m f D q V 9 t Y X Q v Q X V 0 b 1 J l b W 9 2 Z W R D b 2 x 1 b W 5 z M S 5 7 S U R a W U V T L D J 9 J n F 1 b 3 Q 7 L C Z x d W 9 0 O 1 N l Y 3 R p b 2 4 x L 1 J f c m V 0 b 3 V y X 2 N v b m f D q V 9 t Y X Q v Q X V 0 b 1 J l b W 9 2 Z W R D b 2 x 1 b W 5 z M S 5 7 S U R D W T A w L D N 9 J n F 1 b 3 Q 7 L C Z x d W 9 0 O 1 N l Y 3 R p b 2 4 x L 1 J f c m V 0 b 3 V y X 2 N v b m f D q V 9 t Y X Q v Q X V 0 b 1 J l b W 9 2 Z W R D b 2 x 1 b W 5 z M S 5 7 T U F U Q 0 x F L D R 9 J n F 1 b 3 Q 7 L C Z x d W 9 0 O 1 N l Y 3 R p b 2 4 x L 1 J f c m V 0 b 3 V y X 2 N v b m f D q V 9 t Y X Q v Q X V 0 b 1 J l b W 9 2 Z W R D b 2 x 1 b W 5 z M S 5 7 T k 9 N V V N F L D V 9 J n F 1 b 3 Q 7 L C Z x d W 9 0 O 1 N l Y 3 R p b 2 4 x L 1 J f c m V 0 b 3 V y X 2 N v b m f D q V 9 t Y X Q v Q X V 0 b 1 J l b W 9 2 Z W R D b 2 x 1 b W 5 z M S 5 7 U F J F T k 9 N L D Z 9 J n F 1 b 3 Q 7 L C Z x d W 9 0 O 1 N l Y 3 R p b 2 4 x L 1 J f c m V 0 b 3 V y X 2 N v b m f D q V 9 t Y X Q v Q X V 0 b 1 J l b W 9 2 Z W R D b 2 x 1 b W 5 z M S 5 7 R E F U R U 5 U L D d 9 J n F 1 b 3 Q 7 L C Z x d W 9 0 O 1 N l Y 3 R p b 2 4 x L 1 J f c m V 0 b 3 V y X 2 N v b m f D q V 9 t Y X Q v Q X V 0 b 1 J l b W 9 2 Z W R D b 2 x 1 b W 5 z M S 5 7 R E F U U 0 9 S L D h 9 J n F 1 b 3 Q 7 L C Z x d W 9 0 O 1 N l Y 3 R p b 2 4 x L 1 J f c m V 0 b 3 V y X 2 N v b m f D q V 9 t Y X Q v Q X V 0 b 1 J l b W 9 2 Z W R D b 2 x 1 b W 5 z M S 5 7 Q 0 x F L D l 9 J n F 1 b 3 Q 7 L C Z x d W 9 0 O 1 N l Y 3 R p b 2 4 x L 1 J f c m V 0 b 3 V y X 2 N v b m f D q V 9 t Y X Q v Q X V 0 b 1 J l b W 9 2 Z W R D b 2 x 1 b W 5 z M S 5 7 R E F U R E V C L D E w f S Z x d W 9 0 O y w m c X V v d D t T Z W N 0 a W 9 u M S 9 S X 3 J l d G 9 1 c l 9 j b 2 5 n w 6 l f b W F 0 L 0 F 1 d G 9 S Z W 1 v d m V k Q 2 9 s d W 1 u c z E u e 0 R B V E Z J T i w x M X 0 m c X V v d D s s J n F 1 b 3 Q 7 U 2 V j d G l v b j E v U l 9 y Z X R v d X J f Y 2 9 u Z 8 O p X 2 1 h d C 9 B d X R v U m V t b 3 Z l Z E N v b H V t b n M x L n t N T 1 R J R k E s M T J 9 J n F 1 b 3 Q 7 L C Z x d W 9 0 O 1 N l Y 3 R p b 2 4 x L 1 J f c m V 0 b 3 V y X 2 N v b m f D q V 9 t Y X Q v Q X V 0 b 1 J l b W 9 2 Z W R D b 2 x 1 b W 5 z M S 5 7 R E F U R U Z G I F p Z Q V U s M T N 9 J n F 1 b 3 Q 7 L C Z x d W 9 0 O 1 N l Y 3 R p b 2 4 x L 1 J f c m V 0 b 3 V y X 2 N v b m f D q V 9 t Y X Q v Q X V 0 b 1 J l b W 9 2 Z W R D b 2 x 1 b W 5 z M S 5 7 R E F U R k l O I F p Z Q V U s M T R 9 J n F 1 b 3 Q 7 L C Z x d W 9 0 O 1 N l Y 3 R p b 2 4 x L 1 J f c m V 0 b 3 V y X 2 N v b m f D q V 9 t Y X Q v Q X V 0 b 1 J l b W 9 2 Z W R D b 2 x 1 b W 5 z M S 5 7 T V R T Q U w s M T V 9 J n F 1 b 3 Q 7 L C Z x d W 9 0 O 1 N l Y 3 R p b 2 4 x L 1 J f c m V 0 b 3 V y X 2 N v b m f D q V 9 t Y X Q v Q X V 0 b 1 J l b W 9 2 Z W R D b 2 x 1 b W 5 z M S 5 7 V F l Q Q 0 9 O L D E 2 f S Z x d W 9 0 O y w m c X V v d D t T Z W N 0 a W 9 u M S 9 S X 3 J l d G 9 1 c l 9 j b 2 5 n w 6 l f b W F 0 L 0 F 1 d G 9 S Z W 1 v d m V k Q 2 9 s d W 1 u c z E u e 0 5 B V E N P T i w x N 3 0 m c X V v d D t d L C Z x d W 9 0 O 0 N v b H V t b k N v d W 5 0 J n F 1 b 3 Q 7 O j E 4 L C Z x d W 9 0 O 0 t l e U N v b H V t b k 5 h b W V z J n F 1 b 3 Q 7 O l t d L C Z x d W 9 0 O 0 N v b H V t b k l k Z W 5 0 a X R p Z X M m c X V v d D s 6 W y Z x d W 9 0 O 1 N l Y 3 R p b 2 4 x L 1 J f c m V 0 b 3 V y X 2 N v b m f D q V 9 t Y X Q v Q X V 0 b 1 J l b W 9 2 Z W R D b 2 x 1 b W 5 z M S 5 7 R G F 0 Z S B k Z S B y w 6 l m w 6 l y Z W 5 j Z S w w f S Z x d W 9 0 O y w m c X V v d D t T Z W N 0 a W 9 u M S 9 S X 3 J l d G 9 1 c l 9 j b 2 5 n w 6 l f b W F 0 L 0 F 1 d G 9 S Z W 1 v d m V k Q 2 9 s d W 1 u c z E u e 0 5 V R E 9 T U y w x f S Z x d W 9 0 O y w m c X V v d D t T Z W N 0 a W 9 u M S 9 S X 3 J l d G 9 1 c l 9 j b 2 5 n w 6 l f b W F 0 L 0 F 1 d G 9 S Z W 1 v d m V k Q 2 9 s d W 1 u c z E u e 0 l E W l l F U y w y f S Z x d W 9 0 O y w m c X V v d D t T Z W N 0 a W 9 u M S 9 S X 3 J l d G 9 1 c l 9 j b 2 5 n w 6 l f b W F 0 L 0 F 1 d G 9 S Z W 1 v d m V k Q 2 9 s d W 1 u c z E u e 0 l E Q 1 k w M C w z f S Z x d W 9 0 O y w m c X V v d D t T Z W N 0 a W 9 u M S 9 S X 3 J l d G 9 1 c l 9 j b 2 5 n w 6 l f b W F 0 L 0 F 1 d G 9 S Z W 1 v d m V k Q 2 9 s d W 1 u c z E u e 0 1 B V E N M R S w 0 f S Z x d W 9 0 O y w m c X V v d D t T Z W N 0 a W 9 u M S 9 S X 3 J l d G 9 1 c l 9 j b 2 5 n w 6 l f b W F 0 L 0 F 1 d G 9 S Z W 1 v d m V k Q 2 9 s d W 1 u c z E u e 0 5 P T V V T R S w 1 f S Z x d W 9 0 O y w m c X V v d D t T Z W N 0 a W 9 u M S 9 S X 3 J l d G 9 1 c l 9 j b 2 5 n w 6 l f b W F 0 L 0 F 1 d G 9 S Z W 1 v d m V k Q 2 9 s d W 1 u c z E u e 1 B S R U 5 P T S w 2 f S Z x d W 9 0 O y w m c X V v d D t T Z W N 0 a W 9 u M S 9 S X 3 J l d G 9 1 c l 9 j b 2 5 n w 6 l f b W F 0 L 0 F 1 d G 9 S Z W 1 v d m V k Q 2 9 s d W 1 u c z E u e 0 R B V E V O V C w 3 f S Z x d W 9 0 O y w m c X V v d D t T Z W N 0 a W 9 u M S 9 S X 3 J l d G 9 1 c l 9 j b 2 5 n w 6 l f b W F 0 L 0 F 1 d G 9 S Z W 1 v d m V k Q 2 9 s d W 1 u c z E u e 0 R B V F N P U i w 4 f S Z x d W 9 0 O y w m c X V v d D t T Z W N 0 a W 9 u M S 9 S X 3 J l d G 9 1 c l 9 j b 2 5 n w 6 l f b W F 0 L 0 F 1 d G 9 S Z W 1 v d m V k Q 2 9 s d W 1 u c z E u e 0 N M R S w 5 f S Z x d W 9 0 O y w m c X V v d D t T Z W N 0 a W 9 u M S 9 S X 3 J l d G 9 1 c l 9 j b 2 5 n w 6 l f b W F 0 L 0 F 1 d G 9 S Z W 1 v d m V k Q 2 9 s d W 1 u c z E u e 0 R B V E R F Q i w x M H 0 m c X V v d D s s J n F 1 b 3 Q 7 U 2 V j d G l v b j E v U l 9 y Z X R v d X J f Y 2 9 u Z 8 O p X 2 1 h d C 9 B d X R v U m V t b 3 Z l Z E N v b H V t b n M x L n t E Q V R G S U 4 s M T F 9 J n F 1 b 3 Q 7 L C Z x d W 9 0 O 1 N l Y 3 R p b 2 4 x L 1 J f c m V 0 b 3 V y X 2 N v b m f D q V 9 t Y X Q v Q X V 0 b 1 J l b W 9 2 Z W R D b 2 x 1 b W 5 z M S 5 7 T U 9 U S U Z B L D E y f S Z x d W 9 0 O y w m c X V v d D t T Z W N 0 a W 9 u M S 9 S X 3 J l d G 9 1 c l 9 j b 2 5 n w 6 l f b W F 0 L 0 F 1 d G 9 S Z W 1 v d m V k Q 2 9 s d W 1 u c z E u e 0 R B V E V G R i B a W U F V L D E z f S Z x d W 9 0 O y w m c X V v d D t T Z W N 0 a W 9 u M S 9 S X 3 J l d G 9 1 c l 9 j b 2 5 n w 6 l f b W F 0 L 0 F 1 d G 9 S Z W 1 v d m V k Q 2 9 s d W 1 u c z E u e 0 R B V E Z J T i B a W U F V L D E 0 f S Z x d W 9 0 O y w m c X V v d D t T Z W N 0 a W 9 u M S 9 S X 3 J l d G 9 1 c l 9 j b 2 5 n w 6 l f b W F 0 L 0 F 1 d G 9 S Z W 1 v d m V k Q 2 9 s d W 1 u c z E u e 0 1 U U 0 F M L D E 1 f S Z x d W 9 0 O y w m c X V v d D t T Z W N 0 a W 9 u M S 9 S X 3 J l d G 9 1 c l 9 j b 2 5 n w 6 l f b W F 0 L 0 F 1 d G 9 S Z W 1 v d m V k Q 2 9 s d W 1 u c z E u e 1 R Z U E N P T i w x N n 0 m c X V v d D s s J n F 1 b 3 Q 7 U 2 V j d G l v b j E v U l 9 y Z X R v d X J f Y 2 9 u Z 8 O p X 2 1 h d C 9 B d X R v U m V t b 3 Z l Z E N v b H V t b n M x L n t O Q V R D T 0 4 s M T d 9 J n F 1 b 3 Q 7 X S w m c X V v d D t S Z W x h d G l v b n N o a X B J b m Z v J n F 1 b 3 Q 7 O l t d f S I g L z 4 8 L 1 N 0 Y W J s Z U V u d H J p Z X M + P C 9 J d G V t P j x J d G V t P j x J d G V t T G 9 j Y X R p b 2 4 + P E l 0 Z W 1 U e X B l P k Z v c m 1 1 b G E 8 L 0 l 0 Z W 1 U e X B l P j x J d G V t U G F 0 a D 5 T Z W N 0 a W 9 u M S 9 S X 3 J l d G 9 1 c l 9 j b 2 5 n J U M z J U E 5 X 2 1 h d C 9 T b 3 V y Y 2 U 8 L 0 l 0 Z W 1 Q Y X R o P j w v S X R l b U x v Y 2 F 0 a W 9 u P j x T d G F i b G V F b n R y a W V z I C 8 + P C 9 J d G V t P j w v S X R l b X M + P C 9 M b 2 N h b F B h Y 2 t h Z 2 V N Z X R h Z G F 0 Y U Z p b G U + F g A A A F B L B Q Y A A A A A A A A A A A A A A A A A A A A A A A D a A A A A A Q A A A N C M n d 8 B F d E R j H o A w E / C l + s B A A A A w f o l A u j k w k y A P B 6 w l 2 h V o A A A A A A C A A A A A A A D Z g A A w A A A A B A A A A A D + P M / x B w t W R s x 9 p w E b W a h A A A A A A S A A A C g A A A A E A A A A N N r L h c Y e F Q 7 a E 2 E h 6 S m l v t Q A A A A 6 S B w s 0 y w l t P r X + e R E 4 b O N z Q p 8 T G Z u F M 9 A T h 8 s + v R 6 l 5 u s g E 0 1 9 z 0 M 6 P w d W I r q K K 8 u J X u s n a 5 5 I Z Z K 2 6 2 r S q L R o r J c O / x o H 2 v 9 x f N L c r 7 3 9 E U A A A A L N U d X i D n u 5 B Q L u u b T Y S X o 4 1 x 9 U w = < / D a t a M a s h u p > 
</file>

<file path=customXml/itemProps1.xml><?xml version="1.0" encoding="utf-8"?>
<ds:datastoreItem xmlns:ds="http://schemas.openxmlformats.org/officeDocument/2006/customXml" ds:itemID="{8736B6FC-BC2E-4EEA-9A57-1E4EC5A4FA98}">
  <ds:schemaRefs>
    <ds:schemaRef ds:uri="http://schemas.microsoft.com/office/2006/metadata/properties"/>
    <ds:schemaRef ds:uri="http://schemas.microsoft.com/office/infopath/2007/PartnerControls"/>
    <ds:schemaRef ds:uri="d7c7db9d-b89d-42c1-a55e-967c7e456048"/>
    <ds:schemaRef ds:uri="e88bb429-c3ea-41ef-9189-918bb71298bc"/>
  </ds:schemaRefs>
</ds:datastoreItem>
</file>

<file path=customXml/itemProps2.xml><?xml version="1.0" encoding="utf-8"?>
<ds:datastoreItem xmlns:ds="http://schemas.openxmlformats.org/officeDocument/2006/customXml" ds:itemID="{50CF15B8-C922-45A4-9BEB-2DFDEB8B6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7db9d-b89d-42c1-a55e-967c7e456048"/>
    <ds:schemaRef ds:uri="e88bb429-c3ea-41ef-9189-918bb71298bc"/>
    <ds:schemaRef ds:uri="5b993903-18f5-4a0e-bb18-a2f90b311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1065A8-E498-4972-BCBD-207BF84C76F2}">
  <ds:schemaRefs>
    <ds:schemaRef ds:uri="http://schemas.microsoft.com/sharepoint/v3/contenttype/forms"/>
  </ds:schemaRefs>
</ds:datastoreItem>
</file>

<file path=customXml/itemProps4.xml><?xml version="1.0" encoding="utf-8"?>
<ds:datastoreItem xmlns:ds="http://schemas.openxmlformats.org/officeDocument/2006/customXml" ds:itemID="{DADC8614-1E2C-4283-8E4D-27A79F96597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1- écart rémunération</vt:lpstr>
      <vt:lpstr>2- écart augmentations</vt:lpstr>
      <vt:lpstr>2 - message</vt:lpstr>
      <vt:lpstr>3- AI maternité</vt:lpstr>
      <vt:lpstr>4- 10 + hautes rému</vt:lpstr>
      <vt:lpstr>index</vt:lpstr>
      <vt:lpstr>barèmes</vt:lpstr>
      <vt:lpstr>'1- écart rémunération'!Zone_d_impression</vt:lpstr>
      <vt:lpstr>'2- écart augmentations'!Zone_d_impression</vt:lpstr>
      <vt:lpstr>'3- AI maternité'!Zone_d_impression</vt:lpstr>
      <vt:lpstr>'4- 10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Renaud VERGER</cp:lastModifiedBy>
  <cp:lastPrinted>2019-09-30T10:15:31Z</cp:lastPrinted>
  <dcterms:created xsi:type="dcterms:W3CDTF">2018-06-27T07:13:52Z</dcterms:created>
  <dcterms:modified xsi:type="dcterms:W3CDTF">2026-02-23T13:35:24Z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0x010100B2A11EBB3ACF2B40A5CAB9C22734ED29</vt:lpwstr>
  </property>
  <property fmtid="{D5CDD505-2E9C-101B-9397-08002B2CF9AE}" pid="3" name="Order">
    <vt:r8>9588800</vt:r8>
  </property>
</Properties>
</file>