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66925"/>
  <mc:AlternateContent xmlns:mc="http://schemas.openxmlformats.org/markup-compatibility/2006">
    <mc:Choice Requires="x15">
      <x15ac:absPath xmlns:x15ac="http://schemas.microsoft.com/office/spreadsheetml/2010/11/ac" url="Z:\REPORTING\REPORTING RAPPORT EGALITE HOMME FEMME\Index Ega Pro\2022\INDEX 2022 données 2021\SYNTHESE\"/>
    </mc:Choice>
  </mc:AlternateContent>
  <xr:revisionPtr revIDLastSave="0" documentId="8_{5A8C7C52-9092-46E1-A7ED-0983A4F1B3E1}" xr6:coauthVersionLast="31" xr6:coauthVersionMax="31" xr10:uidLastSave="{00000000-0000-0000-0000-000000000000}"/>
  <bookViews>
    <workbookView xWindow="0" yWindow="0" windowWidth="28800" windowHeight="12210" activeTab="5" xr2:uid="{00000000-000D-0000-FFFF-FFFF00000000}"/>
  </bookViews>
  <sheets>
    <sheet name="1- écart rémunération" sheetId="5" r:id="rId1"/>
    <sheet name="2- écart augmentations" sheetId="9" r:id="rId2"/>
    <sheet name="2 - message" sheetId="13" state="hidden" r:id="rId3"/>
    <sheet name="3- AI maternité" sheetId="12" r:id="rId4"/>
    <sheet name="4- 10 + hautes rému" sheetId="10" r:id="rId5"/>
    <sheet name="index" sheetId="7" r:id="rId6"/>
    <sheet name="barèmes" sheetId="8" r:id="rId7"/>
  </sheets>
  <definedNames>
    <definedName name="_xlnm.Print_Area" localSheetId="0">'1- écart rémunération'!$A$1:$K$33</definedName>
    <definedName name="_xlnm.Print_Area" localSheetId="1">'2- écart augmentations'!$A$1:$M$20</definedName>
    <definedName name="_xlnm.Print_Area" localSheetId="3">'3- AI maternité'!$A$1:$M$14</definedName>
    <definedName name="_xlnm.Print_Area" localSheetId="4">'4- 10 + hautes rému'!$A$1:$M$12</definedName>
  </definedNames>
  <calcPr calcId="179017"/>
</workbook>
</file>

<file path=xl/calcChain.xml><?xml version="1.0" encoding="utf-8"?>
<calcChain xmlns="http://schemas.openxmlformats.org/spreadsheetml/2006/main">
  <c r="I12" i="5" l="1"/>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C12" i="12" l="1"/>
  <c r="D9" i="9" l="1"/>
  <c r="E9" i="9"/>
  <c r="D14" i="9" l="1"/>
  <c r="E14" i="9" s="1"/>
  <c r="F9" i="9"/>
  <c r="C9" i="13"/>
  <c r="C6" i="13"/>
  <c r="G28" i="5"/>
  <c r="E22" i="5"/>
  <c r="G9" i="9" l="1"/>
  <c r="I9" i="9" l="1"/>
  <c r="H9" i="9"/>
  <c r="C28" i="5"/>
  <c r="D28" i="5"/>
  <c r="I10" i="9" l="1"/>
  <c r="D15" i="9"/>
  <c r="E15" i="9"/>
  <c r="J9" i="9"/>
  <c r="D16" i="9" s="1"/>
  <c r="E16" i="9"/>
  <c r="D12" i="12"/>
  <c r="E13" i="5"/>
  <c r="F13" i="5" s="1"/>
  <c r="E14" i="5"/>
  <c r="F14" i="5" s="1"/>
  <c r="E15" i="5"/>
  <c r="F15" i="5" s="1"/>
  <c r="E16" i="5"/>
  <c r="F16" i="5" s="1"/>
  <c r="E17" i="5"/>
  <c r="F17" i="5" s="1"/>
  <c r="E18" i="5"/>
  <c r="F18" i="5" s="1"/>
  <c r="E19" i="5"/>
  <c r="F19" i="5" s="1"/>
  <c r="E20" i="5"/>
  <c r="F20" i="5" s="1"/>
  <c r="E21" i="5"/>
  <c r="F21" i="5" s="1"/>
  <c r="F22" i="5"/>
  <c r="E23" i="5"/>
  <c r="F23" i="5" s="1"/>
  <c r="E24" i="5"/>
  <c r="F24" i="5" s="1"/>
  <c r="E25" i="5"/>
  <c r="F25" i="5" s="1"/>
  <c r="E26" i="5"/>
  <c r="F26" i="5" s="1"/>
  <c r="E27" i="5"/>
  <c r="F27" i="5" s="1"/>
  <c r="K15" i="5" l="1"/>
  <c r="B8" i="7"/>
  <c r="K13" i="5"/>
  <c r="K14" i="5"/>
  <c r="D8" i="12"/>
  <c r="B7" i="8"/>
  <c r="B8" i="8" s="1"/>
  <c r="B9" i="8" s="1"/>
  <c r="B10" i="8" s="1"/>
  <c r="B11" i="8" s="1"/>
  <c r="B12" i="8" s="1"/>
  <c r="B13" i="8" s="1"/>
  <c r="B14" i="8" s="1"/>
  <c r="B15" i="8" s="1"/>
  <c r="B16" i="8" s="1"/>
  <c r="B17" i="8" s="1"/>
  <c r="B18" i="8" s="1"/>
  <c r="B19" i="8" s="1"/>
  <c r="B20" i="8" s="1"/>
  <c r="B21" i="8" s="1"/>
  <c r="B22" i="8" s="1"/>
  <c r="B23" i="8" s="1"/>
  <c r="B24" i="8" s="1"/>
  <c r="B25" i="8" s="1"/>
  <c r="B26" i="8" s="1"/>
  <c r="C13" i="12" l="1"/>
  <c r="C8" i="7" s="1"/>
  <c r="F9" i="7"/>
  <c r="D8" i="10"/>
  <c r="E8" i="10" s="1"/>
  <c r="C11" i="10" s="1"/>
  <c r="E12" i="5"/>
  <c r="F12" i="5" s="1"/>
  <c r="E28" i="5"/>
  <c r="D11" i="10" l="1"/>
  <c r="C14" i="12"/>
  <c r="D14" i="12" s="1"/>
  <c r="F8" i="7"/>
  <c r="J28" i="5"/>
  <c r="K27" i="5" l="1"/>
  <c r="K12" i="5"/>
  <c r="D32" i="5"/>
  <c r="K20" i="5"/>
  <c r="D8" i="7"/>
  <c r="K23" i="5"/>
  <c r="K24" i="5"/>
  <c r="K25" i="5"/>
  <c r="K19" i="5"/>
  <c r="K16" i="5"/>
  <c r="K18" i="5"/>
  <c r="K26" i="5"/>
  <c r="K17" i="5"/>
  <c r="K22" i="5"/>
  <c r="K21" i="5"/>
  <c r="C12" i="10"/>
  <c r="D9" i="7" s="1"/>
  <c r="C9" i="7"/>
  <c r="E32" i="5" l="1"/>
  <c r="B7" i="7"/>
  <c r="C7" i="7" s="1"/>
  <c r="K28" i="5"/>
  <c r="E33" i="5" s="1"/>
  <c r="F7" i="7" l="1"/>
  <c r="D33" i="5"/>
  <c r="D34" i="5" l="1"/>
  <c r="E20" i="9" s="1"/>
  <c r="B6" i="7"/>
  <c r="F6" i="7" l="1"/>
  <c r="F10" i="7" s="1"/>
  <c r="A12" i="7" s="1"/>
  <c r="D18" i="9"/>
  <c r="D19" i="9"/>
  <c r="D6" i="7"/>
  <c r="D20" i="9" l="1"/>
  <c r="D7" i="7" s="1"/>
  <c r="C6" i="7"/>
  <c r="D11" i="7" l="1"/>
  <c r="D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CECI-RENAUD, Nila 2 (DARES)</author>
  </authors>
  <commentList>
    <comment ref="C10" authorId="0" shapeId="0" xr:uid="{00000000-0006-0000-0000-00000100000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shapeId="0" xr:uid="{00000000-0006-0000-0000-00000200000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<sst xmlns="http://schemas.openxmlformats.org/spreadsheetml/2006/main" count="150" uniqueCount="94">
  <si>
    <t>femmes</t>
  </si>
  <si>
    <t>hommes</t>
  </si>
  <si>
    <t>catégorie socioprofessionnelle (CSP)</t>
  </si>
  <si>
    <t>tranche d'âge</t>
  </si>
  <si>
    <t>30 à 39 ans</t>
  </si>
  <si>
    <t>40 à 49 ans</t>
  </si>
  <si>
    <t>50 ans et plus</t>
  </si>
  <si>
    <t>moins de 30 ans</t>
  </si>
  <si>
    <t>validité du groupe (1=oui, 0=non)</t>
  </si>
  <si>
    <t>écart pondéré</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</si>
  <si>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</si>
  <si>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</si>
  <si>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</si>
  <si>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</si>
  <si>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</si>
  <si>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</si>
  <si>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</si>
  <si>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</si>
  <si>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</si>
  <si>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</si>
  <si>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</si>
  <si>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</si>
  <si>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</si>
  <si>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</si>
  <si>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</si>
  <si>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</si>
  <si>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</si>
  <si>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</si>
  <si>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</si>
  <si>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</si>
  <si>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</si>
  <si>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</si>
  <si>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</si>
  <si>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</si>
  <si>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</si>
  <si>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</si>
  <si>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</si>
  <si>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</si>
  <si>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</si>
  <si>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</si>
  <si>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</si>
  <si>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</si>
  <si>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écart de taux d'augmen-tation</t>
  </si>
  <si>
    <t>Indicateur 1 : écart de rémunération (%)</t>
  </si>
  <si>
    <t>Indicateur 2 : écart de taux d'augmentations individuelles (points de %)</t>
  </si>
  <si>
    <t>1- écart de remuneration (en %)</t>
  </si>
  <si>
    <t>total</t>
  </si>
  <si>
    <t>pourcentage de salariés augmentés</t>
  </si>
  <si>
    <t>indicateur de pourcentage de salariés ayant bénéficié d'une augmentation dans l'année suivant leur retour de congé maternité (%) :</t>
  </si>
  <si>
    <t>note obtenue sur 15 :</t>
  </si>
  <si>
    <t>INDEX (sur 100 points)</t>
  </si>
  <si>
    <t>Total des indicateurs calculables</t>
  </si>
  <si>
    <t xml:space="preserve">Ne pas modifier les barèmes des indicateurs.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</si>
  <si>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</si>
  <si>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</si>
  <si>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</si>
  <si>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</si>
  <si>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</si>
  <si>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</si>
  <si>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</si>
  <si>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</si>
  <si>
    <t>nombre de salariés augmentés au cours de la période de référence *</t>
  </si>
  <si>
    <t>taux d'augmentation</t>
  </si>
  <si>
    <t>Il ne faut comptabiliser les salariés augmentés que parmi ceux qui entrent dans le calcul de l'index.</t>
  </si>
  <si>
    <t>écart absolu de taux d'augmen-tation</t>
  </si>
  <si>
    <t>écart en nombre équivalent de salariés</t>
  </si>
  <si>
    <t>écart absolu de taux d'augmentation (points de %) :</t>
  </si>
  <si>
    <t>note correspondant à l'écart absolu de taux d'augmentation :</t>
  </si>
  <si>
    <t>note correspondant à l'écart en nombre équivalent de salariés :</t>
  </si>
  <si>
    <t>écart en nombre équivalent de salariés :</t>
  </si>
  <si>
    <t>Situation</t>
  </si>
  <si>
    <t>écart en faveur des :</t>
  </si>
  <si>
    <t>Plus petit nombre de salariés :</t>
  </si>
  <si>
    <t>Si ce nombre d'hommes n'avait pas reçu d'augmentation parmi les bénéficiaires, les taux d'augmentation seraient égaux entre hommes et femmes.</t>
  </si>
  <si>
    <t>Si ce nombre de femmes n'avait pas reçu d'augmentation parmi les bénéficiaires, les taux d'augmentation seraient égaux entre hommes et femmes.</t>
  </si>
  <si>
    <t>Si ce nombre de femmes supplémentaires avait bénéficié d'une augmentation, les taux d'augmentation seraient égaux entre hommes et femmes.</t>
  </si>
  <si>
    <t>Si ce nombre d'hommes supplémentaires avait bénéficié d'une augmentation, les taux d'augmentation seraient égaux entre hommes et femmes.</t>
  </si>
  <si>
    <t>aucun</t>
  </si>
  <si>
    <t>égal</t>
  </si>
  <si>
    <t>Message accompagnant l'écart en nombre équivalent de salariés :</t>
  </si>
  <si>
    <t>2- écarts d'augmentations individuelles (en points de % ou en nombre équivalent de salariés)</t>
  </si>
  <si>
    <t>3- pourcentage de salariés augmentés au retour d'un congé maternité (%)</t>
  </si>
  <si>
    <t>4- nombre de salariés du sexe sous-représenté parmi les 10 plus hautes rémunérations</t>
  </si>
  <si>
    <t>Indicateur 3 : pourcentage de salariés ayant bénéficié d'une augmentation dans l'année suivant leur retour de congé maternité (%)</t>
  </si>
  <si>
    <t>Indicateur 4 : nombre de salariés du sexe sous-représenté parmi les 10 plus hautes rémunérations</t>
  </si>
  <si>
    <t>note obtenue sur 35 :</t>
  </si>
  <si>
    <t xml:space="preserve">* Seules les augmentations individuelles du salaire de base sont à prendre en compte, qu'elles correspondent ou non à une promotion. </t>
  </si>
  <si>
    <t>La période de référence retenue pour évaluer la présence d'augmentations peut être allongée à deux ou trois ans. Son caractère pluriannuel peut alors être révisé tous les trois ans</t>
  </si>
  <si>
    <t xml:space="preserve">Les résultats apparaissent dans les cellules jaunes. Ils peuvent être accompagnés de commentaires pour les interpréter. </t>
  </si>
  <si>
    <t xml:space="preserve">*  Les salariés à considérer sont les salariés revenus de congé maternité ou d’adoption (éventuellement prolongé par un congé parental) pendant la période de référence, et durant lequel sont intervenues des augmentations générales et/ou individuelles pour les salariés relevant de la même catégorie professionnelle, ou à défaut, pour l’ensemble des salariés de l’entreprise. Même si ces salariés ont été absents plus de la moitié de la période de référence, ils doivent être pris en compte pour le calcul de l'indicateur. </t>
  </si>
  <si>
    <t>3- pourcentage de salariés ayant bénéficié d'une augmentation dans l'année suivant leur retour de congé maternité</t>
  </si>
  <si>
    <t>augmentés**</t>
  </si>
  <si>
    <t>nombre de salariés de retour de congé maternité/adoption*</t>
  </si>
  <si>
    <t>** Les augmentations à prendre en compte sont celles qui sont intervenues soit pendant le congé maternité/adoption, soit à son retour, avant la fin de la période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</si>
</sst>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2">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64"/>
      </bottom>
      <diagonal/>
    </border>
  </borders>
  <cellStyleXfs count="2">
    <xf numFmtId="0" fontId="0" fillId="0" borderId="0"/>
    <xf numFmtId="9" fontId="12" fillId="0" borderId="0" applyFont="0" applyFill="0" applyBorder="0" applyAlignment="0" applyProtection="0"/>
  </cellStyleXfs>
  <cellXfs count="110">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0" fontId="0" fillId="0" borderId="0" xfId="0" applyFill="1"/>
    <xf numFmtId="0" fontId="6" fillId="0" borderId="0" xfId="0" applyFont="1" applyFill="1" applyBorder="1" applyAlignment="1">
      <alignment horizontal="left" vertical="center" readingOrder="1"/>
    </xf>
    <xf numFmtId="0" fontId="15" fillId="0" borderId="0" xfId="0" applyFont="1"/>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65" fontId="0" fillId="0" borderId="0" xfId="0" applyNumberFormat="1" applyFill="1"/>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3" fillId="7" borderId="1" xfId="0" applyFont="1" applyFill="1" applyBorder="1" applyAlignment="1">
      <alignment horizontal="center" vertical="center" wrapText="1" readingOrder="1"/>
    </xf>
    <xf numFmtId="164" fontId="7" fillId="6" borderId="1" xfId="0" applyNumberFormat="1" applyFont="1" applyFill="1" applyBorder="1" applyAlignment="1">
      <alignment horizontal="center" vertical="center" wrapText="1" readingOrder="1"/>
    </xf>
    <xf numFmtId="164" fontId="0" fillId="0" borderId="0" xfId="1" applyNumberFormat="1" applyFont="1"/>
    <xf numFmtId="164" fontId="2" fillId="6" borderId="1" xfId="1" applyNumberFormat="1" applyFont="1" applyFill="1" applyBorder="1" applyAlignment="1" applyProtection="1">
      <alignment horizontal="center" vertical="center" wrapText="1" readingOrder="1"/>
      <protection locked="0"/>
    </xf>
    <xf numFmtId="164" fontId="5" fillId="5" borderId="7" xfId="1" applyNumberFormat="1" applyFont="1" applyFill="1" applyBorder="1" applyAlignment="1">
      <alignment horizontal="center" vertical="center" wrapText="1" readingOrder="1"/>
    </xf>
    <xf numFmtId="164" fontId="7" fillId="6" borderId="1" xfId="0" applyNumberFormat="1" applyFont="1" applyFill="1" applyBorder="1" applyAlignment="1">
      <alignment horizontal="right" vertical="center" wrapText="1" indent="2"/>
    </xf>
    <xf numFmtId="1" fontId="7" fillId="0" borderId="0" xfId="1" applyNumberFormat="1" applyFont="1" applyFill="1" applyAlignment="1">
      <alignment horizontal="right" indent="2"/>
    </xf>
    <xf numFmtId="165" fontId="16" fillId="6" borderId="1" xfId="0" applyNumberFormat="1" applyFont="1" applyFill="1" applyBorder="1" applyAlignment="1" applyProtection="1">
      <alignment horizontal="right" vertical="center" wrapText="1" indent="2" readingOrder="1"/>
      <protection locked="0"/>
    </xf>
    <xf numFmtId="0" fontId="0" fillId="0" borderId="10" xfId="0" applyBorder="1" applyAlignment="1">
      <alignment vertical="top" wrapText="1"/>
    </xf>
    <xf numFmtId="0" fontId="0" fillId="10" borderId="0" xfId="0" applyFill="1"/>
    <xf numFmtId="165" fontId="10" fillId="4" borderId="5" xfId="0" applyNumberFormat="1" applyFont="1" applyFill="1" applyBorder="1" applyAlignment="1">
      <alignment horizontal="right" vertical="center" wrapText="1" indent="5" readingOrder="1"/>
    </xf>
    <xf numFmtId="1" fontId="2" fillId="11" borderId="1" xfId="0" applyNumberFormat="1" applyFont="1" applyFill="1" applyBorder="1" applyAlignment="1" applyProtection="1">
      <alignment horizontal="right" vertical="center" wrapText="1" indent="2" readingOrder="1"/>
      <protection locked="0"/>
    </xf>
    <xf numFmtId="0" fontId="19" fillId="0" borderId="0" xfId="0" applyFont="1" applyAlignment="1">
      <alignment horizontal="right" indent="2"/>
    </xf>
    <xf numFmtId="0" fontId="7" fillId="0" borderId="0" xfId="0" applyFont="1" applyFill="1"/>
    <xf numFmtId="165" fontId="7" fillId="0" borderId="0" xfId="1" applyNumberFormat="1" applyFont="1" applyFill="1" applyAlignment="1">
      <alignment horizontal="right" indent="2"/>
    </xf>
    <xf numFmtId="0" fontId="6" fillId="0" borderId="9" xfId="0" applyFont="1" applyFill="1" applyBorder="1" applyAlignment="1">
      <alignment horizontal="left" vertical="center" readingOrder="1"/>
    </xf>
    <xf numFmtId="0" fontId="4" fillId="0" borderId="9" xfId="0" applyFont="1" applyFill="1" applyBorder="1" applyAlignment="1">
      <alignment horizontal="left" vertical="center" readingOrder="1"/>
    </xf>
    <xf numFmtId="10" fontId="2" fillId="8" borderId="1" xfId="1" applyNumberFormat="1" applyFont="1" applyFill="1" applyBorder="1" applyAlignment="1" applyProtection="1">
      <alignment horizontal="right" vertical="center" wrapText="1" indent="2" readingOrder="1"/>
      <protection locked="0"/>
    </xf>
    <xf numFmtId="0" fontId="3" fillId="7"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15" fillId="0" borderId="0" xfId="0" applyFont="1" applyAlignment="1">
      <alignment horizontal="left"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center" vertical="top"/>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opLeftCell="A7" zoomScale="80" zoomScaleNormal="80" workbookViewId="0">
      <selection activeCell="C12" sqref="C12:D27"/>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0" t="s">
        <v>40</v>
      </c>
      <c r="D1" s="1"/>
    </row>
    <row r="3" spans="1:11" ht="23.25" x14ac:dyDescent="0.35">
      <c r="A3" s="11" t="s">
        <v>55</v>
      </c>
      <c r="B3" s="68"/>
      <c r="C3" s="68"/>
      <c r="D3" s="68"/>
      <c r="E3" s="68"/>
      <c r="F3" s="68"/>
      <c r="G3" s="68"/>
      <c r="H3" s="68"/>
    </row>
    <row r="4" spans="1:11" ht="23.25" x14ac:dyDescent="0.35">
      <c r="A4" s="11" t="s">
        <v>88</v>
      </c>
      <c r="B4" s="68"/>
      <c r="C4" s="68"/>
      <c r="D4" s="68"/>
      <c r="E4" s="68"/>
      <c r="F4" s="68"/>
      <c r="G4" s="68"/>
      <c r="H4" s="68"/>
    </row>
    <row r="5" spans="1:11" ht="23.25" x14ac:dyDescent="0.35">
      <c r="A5" s="11" t="s">
        <v>56</v>
      </c>
      <c r="B5" s="68"/>
      <c r="C5" s="68"/>
      <c r="D5" s="68"/>
      <c r="E5" s="68"/>
      <c r="F5" s="68"/>
      <c r="G5" s="68"/>
      <c r="H5" s="68"/>
    </row>
    <row r="6" spans="1:11" ht="21" x14ac:dyDescent="0.35">
      <c r="A6" s="7"/>
    </row>
    <row r="7" spans="1:11" ht="21" x14ac:dyDescent="0.35">
      <c r="A7" s="40" t="s">
        <v>33</v>
      </c>
      <c r="B7" s="30"/>
      <c r="C7" s="62" t="s">
        <v>35</v>
      </c>
      <c r="D7" s="30" t="s">
        <v>59</v>
      </c>
    </row>
    <row r="8" spans="1:11" ht="44.25" customHeight="1" x14ac:dyDescent="0.25">
      <c r="A8" s="63" t="s">
        <v>34</v>
      </c>
      <c r="B8" s="64"/>
      <c r="C8" s="65">
        <v>0.05</v>
      </c>
      <c r="D8" s="93" t="s">
        <v>60</v>
      </c>
      <c r="E8" s="93"/>
      <c r="F8" s="93"/>
      <c r="G8" s="93"/>
      <c r="H8" s="93"/>
      <c r="I8" s="93"/>
      <c r="J8" s="93"/>
      <c r="K8" s="93"/>
    </row>
    <row r="10" spans="1:11" ht="45.75" customHeight="1" x14ac:dyDescent="0.25">
      <c r="A10" s="89" t="s">
        <v>2</v>
      </c>
      <c r="B10" s="89" t="s">
        <v>3</v>
      </c>
      <c r="C10" s="89" t="s">
        <v>38</v>
      </c>
      <c r="D10" s="89"/>
      <c r="E10" s="89" t="s">
        <v>39</v>
      </c>
      <c r="F10" s="89" t="s">
        <v>10</v>
      </c>
      <c r="G10" s="94" t="s">
        <v>23</v>
      </c>
      <c r="H10" s="95"/>
      <c r="I10" s="89" t="s">
        <v>8</v>
      </c>
      <c r="J10" s="89" t="s">
        <v>37</v>
      </c>
      <c r="K10" s="89" t="s">
        <v>9</v>
      </c>
    </row>
    <row r="11" spans="1:11" ht="23.25" x14ac:dyDescent="0.25">
      <c r="A11" s="89"/>
      <c r="B11" s="89"/>
      <c r="C11" s="8" t="s">
        <v>0</v>
      </c>
      <c r="D11" s="8" t="s">
        <v>1</v>
      </c>
      <c r="E11" s="89"/>
      <c r="F11" s="89"/>
      <c r="G11" s="8" t="s">
        <v>0</v>
      </c>
      <c r="H11" s="8" t="s">
        <v>1</v>
      </c>
      <c r="I11" s="89"/>
      <c r="J11" s="89"/>
      <c r="K11" s="89"/>
    </row>
    <row r="12" spans="1:11" ht="23.25" customHeight="1" x14ac:dyDescent="0.35">
      <c r="A12" s="89" t="s">
        <v>20</v>
      </c>
      <c r="B12" s="9" t="s">
        <v>7</v>
      </c>
      <c r="C12" s="18">
        <v>0</v>
      </c>
      <c r="D12" s="18">
        <v>23746.264999999996</v>
      </c>
      <c r="E12" s="19" t="str">
        <f>IF(AND(C12&gt;0,D12&gt;0),(D12-C12)/D12," ")</f>
        <v xml:space="preserve"> </v>
      </c>
      <c r="F12" s="19" t="str">
        <f t="shared" ref="F12" si="0">IF(ISNUMBER(E12),SIGN(E12)*MAX(0,ABS(E12)-$C$8)," ")</f>
        <v xml:space="preserve"> </v>
      </c>
      <c r="G12" s="20">
        <v>0</v>
      </c>
      <c r="H12" s="20">
        <v>14</v>
      </c>
      <c r="I12" s="21">
        <f>IF(AND(G12&gt;=3,H12&gt;=3),1,0)</f>
        <v>0</v>
      </c>
      <c r="J12" s="21">
        <f>I12*SUM(G12:H12)</f>
        <v>0</v>
      </c>
      <c r="K12" s="22">
        <f t="shared" ref="K12:K27" si="1">IF(I12=1,F12*J12/J$28,0)</f>
        <v>0</v>
      </c>
    </row>
    <row r="13" spans="1:11" ht="23.25" x14ac:dyDescent="0.35">
      <c r="A13" s="89"/>
      <c r="B13" s="9" t="s">
        <v>4</v>
      </c>
      <c r="C13" s="18">
        <v>0</v>
      </c>
      <c r="D13" s="18">
        <v>23803.350000000002</v>
      </c>
      <c r="E13" s="19" t="str">
        <f t="shared" ref="E13:E27" si="2">IF(AND(C13&gt;0,D13&gt;0),(D13-C13)/D13," ")</f>
        <v xml:space="preserve"> </v>
      </c>
      <c r="F13" s="19" t="str">
        <f t="shared" ref="F13:F27" si="3">IF(ISNUMBER(E13),SIGN(E13)*MAX(0,ABS(E13)-$C$8)," ")</f>
        <v xml:space="preserve"> </v>
      </c>
      <c r="G13" s="20">
        <v>0</v>
      </c>
      <c r="H13" s="20">
        <v>3</v>
      </c>
      <c r="I13" s="21">
        <f t="shared" ref="I13:I27" si="4">IF(AND(G13&gt;=3,H13&gt;=3),1,0)</f>
        <v>0</v>
      </c>
      <c r="J13" s="21">
        <f t="shared" ref="J13:J27" si="5">I13*SUM(G13:H13)</f>
        <v>0</v>
      </c>
      <c r="K13" s="22">
        <f t="shared" si="1"/>
        <v>0</v>
      </c>
    </row>
    <row r="14" spans="1:11" ht="23.25" x14ac:dyDescent="0.35">
      <c r="A14" s="89"/>
      <c r="B14" s="9" t="s">
        <v>5</v>
      </c>
      <c r="C14" s="23">
        <v>0</v>
      </c>
      <c r="D14" s="23">
        <v>24007.9725</v>
      </c>
      <c r="E14" s="19" t="str">
        <f t="shared" si="2"/>
        <v xml:space="preserve"> </v>
      </c>
      <c r="F14" s="19" t="str">
        <f t="shared" si="3"/>
        <v xml:space="preserve"> </v>
      </c>
      <c r="G14" s="20">
        <v>0</v>
      </c>
      <c r="H14" s="20">
        <v>4</v>
      </c>
      <c r="I14" s="21">
        <f t="shared" si="4"/>
        <v>0</v>
      </c>
      <c r="J14" s="21">
        <f t="shared" si="5"/>
        <v>0</v>
      </c>
      <c r="K14" s="22">
        <f t="shared" si="1"/>
        <v>0</v>
      </c>
    </row>
    <row r="15" spans="1:11" ht="23.25" x14ac:dyDescent="0.35">
      <c r="A15" s="89"/>
      <c r="B15" s="9" t="s">
        <v>6</v>
      </c>
      <c r="C15" s="23">
        <v>0</v>
      </c>
      <c r="D15" s="23">
        <v>24408.1875</v>
      </c>
      <c r="E15" s="19" t="str">
        <f t="shared" si="2"/>
        <v xml:space="preserve"> </v>
      </c>
      <c r="F15" s="19" t="str">
        <f t="shared" si="3"/>
        <v xml:space="preserve"> </v>
      </c>
      <c r="G15" s="20">
        <v>0</v>
      </c>
      <c r="H15" s="20">
        <v>4</v>
      </c>
      <c r="I15" s="21">
        <f t="shared" si="4"/>
        <v>0</v>
      </c>
      <c r="J15" s="21">
        <f t="shared" si="5"/>
        <v>0</v>
      </c>
      <c r="K15" s="22">
        <f t="shared" si="1"/>
        <v>0</v>
      </c>
    </row>
    <row r="16" spans="1:11" ht="23.25" customHeight="1" x14ac:dyDescent="0.35">
      <c r="A16" s="89" t="s">
        <v>19</v>
      </c>
      <c r="B16" s="9" t="s">
        <v>7</v>
      </c>
      <c r="C16" s="18">
        <v>0</v>
      </c>
      <c r="D16" s="18">
        <v>0</v>
      </c>
      <c r="E16" s="19" t="str">
        <f t="shared" si="2"/>
        <v xml:space="preserve"> </v>
      </c>
      <c r="F16" s="19" t="str">
        <f t="shared" si="3"/>
        <v xml:space="preserve"> </v>
      </c>
      <c r="G16" s="20">
        <v>0</v>
      </c>
      <c r="H16" s="20">
        <v>0</v>
      </c>
      <c r="I16" s="21">
        <f t="shared" si="4"/>
        <v>0</v>
      </c>
      <c r="J16" s="21">
        <f t="shared" si="5"/>
        <v>0</v>
      </c>
      <c r="K16" s="22">
        <f t="shared" si="1"/>
        <v>0</v>
      </c>
    </row>
    <row r="17" spans="1:11" ht="23.25" x14ac:dyDescent="0.35">
      <c r="A17" s="89"/>
      <c r="B17" s="9" t="s">
        <v>4</v>
      </c>
      <c r="C17" s="18">
        <v>27366.77</v>
      </c>
      <c r="D17" s="18">
        <v>0</v>
      </c>
      <c r="E17" s="19" t="str">
        <f t="shared" si="2"/>
        <v xml:space="preserve"> </v>
      </c>
      <c r="F17" s="19" t="str">
        <f t="shared" si="3"/>
        <v xml:space="preserve"> </v>
      </c>
      <c r="G17" s="20">
        <v>1</v>
      </c>
      <c r="H17" s="20">
        <v>0</v>
      </c>
      <c r="I17" s="21">
        <f t="shared" si="4"/>
        <v>0</v>
      </c>
      <c r="J17" s="21">
        <f t="shared" si="5"/>
        <v>0</v>
      </c>
      <c r="K17" s="22">
        <f t="shared" si="1"/>
        <v>0</v>
      </c>
    </row>
    <row r="18" spans="1:11" ht="23.25" x14ac:dyDescent="0.35">
      <c r="A18" s="89"/>
      <c r="B18" s="9" t="s">
        <v>5</v>
      </c>
      <c r="C18" s="23">
        <v>26211.21</v>
      </c>
      <c r="D18" s="18">
        <v>0</v>
      </c>
      <c r="E18" s="19" t="str">
        <f t="shared" si="2"/>
        <v xml:space="preserve"> </v>
      </c>
      <c r="F18" s="19" t="str">
        <f t="shared" si="3"/>
        <v xml:space="preserve"> </v>
      </c>
      <c r="G18" s="20">
        <v>1</v>
      </c>
      <c r="H18" s="20">
        <v>0</v>
      </c>
      <c r="I18" s="21">
        <f t="shared" si="4"/>
        <v>0</v>
      </c>
      <c r="J18" s="21">
        <f t="shared" si="5"/>
        <v>0</v>
      </c>
      <c r="K18" s="22">
        <f t="shared" si="1"/>
        <v>0</v>
      </c>
    </row>
    <row r="19" spans="1:11" ht="23.25" x14ac:dyDescent="0.35">
      <c r="A19" s="89"/>
      <c r="B19" s="9" t="s">
        <v>6</v>
      </c>
      <c r="C19" s="23">
        <v>24451.69666666667</v>
      </c>
      <c r="D19" s="23">
        <v>0</v>
      </c>
      <c r="E19" s="19" t="str">
        <f t="shared" si="2"/>
        <v xml:space="preserve"> </v>
      </c>
      <c r="F19" s="19" t="str">
        <f t="shared" si="3"/>
        <v xml:space="preserve"> </v>
      </c>
      <c r="G19" s="20">
        <v>3</v>
      </c>
      <c r="H19" s="20">
        <v>0</v>
      </c>
      <c r="I19" s="21">
        <f t="shared" si="4"/>
        <v>0</v>
      </c>
      <c r="J19" s="21">
        <f t="shared" si="5"/>
        <v>0</v>
      </c>
      <c r="K19" s="22">
        <f t="shared" si="1"/>
        <v>0</v>
      </c>
    </row>
    <row r="20" spans="1:11" ht="23.25" customHeight="1" x14ac:dyDescent="0.35">
      <c r="A20" s="89" t="s">
        <v>36</v>
      </c>
      <c r="B20" s="9" t="s">
        <v>7</v>
      </c>
      <c r="C20" s="18">
        <v>27835.460000000003</v>
      </c>
      <c r="D20" s="18">
        <v>29053.228260869564</v>
      </c>
      <c r="E20" s="19">
        <f t="shared" si="2"/>
        <v>4.1915075665092838E-2</v>
      </c>
      <c r="F20" s="19">
        <f t="shared" si="3"/>
        <v>0</v>
      </c>
      <c r="G20" s="20">
        <v>3</v>
      </c>
      <c r="H20" s="20">
        <v>23</v>
      </c>
      <c r="I20" s="21">
        <f t="shared" si="4"/>
        <v>1</v>
      </c>
      <c r="J20" s="21">
        <f t="shared" si="5"/>
        <v>26</v>
      </c>
      <c r="K20" s="22">
        <f>IF(I20=1,F20*J20/J$28,0)</f>
        <v>0</v>
      </c>
    </row>
    <row r="21" spans="1:11" ht="23.25" x14ac:dyDescent="0.35">
      <c r="A21" s="89"/>
      <c r="B21" s="9" t="s">
        <v>4</v>
      </c>
      <c r="C21" s="18">
        <v>32032.059999999998</v>
      </c>
      <c r="D21" s="18">
        <v>32752.832424242424</v>
      </c>
      <c r="E21" s="19">
        <f t="shared" si="2"/>
        <v>2.2006415045464515E-2</v>
      </c>
      <c r="F21" s="19">
        <f t="shared" si="3"/>
        <v>0</v>
      </c>
      <c r="G21" s="20">
        <v>1</v>
      </c>
      <c r="H21" s="20">
        <v>33</v>
      </c>
      <c r="I21" s="21">
        <f t="shared" si="4"/>
        <v>0</v>
      </c>
      <c r="J21" s="21">
        <f t="shared" si="5"/>
        <v>0</v>
      </c>
      <c r="K21" s="22">
        <f t="shared" si="1"/>
        <v>0</v>
      </c>
    </row>
    <row r="22" spans="1:11" ht="23.25" x14ac:dyDescent="0.35">
      <c r="A22" s="89"/>
      <c r="B22" s="9" t="s">
        <v>5</v>
      </c>
      <c r="C22" s="23">
        <v>34542.084999999999</v>
      </c>
      <c r="D22" s="23">
        <v>32014.217826086962</v>
      </c>
      <c r="E22" s="19">
        <f>IF(AND(C22&gt;0,D22&gt;0),(D22-C22)/D22," ")</f>
        <v>-7.8960766358414369E-2</v>
      </c>
      <c r="F22" s="19">
        <f t="shared" si="3"/>
        <v>-2.8960766358414367E-2</v>
      </c>
      <c r="G22" s="20">
        <v>2</v>
      </c>
      <c r="H22" s="20">
        <v>23</v>
      </c>
      <c r="I22" s="21">
        <f t="shared" si="4"/>
        <v>0</v>
      </c>
      <c r="J22" s="21">
        <f t="shared" si="5"/>
        <v>0</v>
      </c>
      <c r="K22" s="22">
        <f t="shared" si="1"/>
        <v>0</v>
      </c>
    </row>
    <row r="23" spans="1:11" ht="23.25" x14ac:dyDescent="0.35">
      <c r="A23" s="89"/>
      <c r="B23" s="9" t="s">
        <v>6</v>
      </c>
      <c r="C23" s="23">
        <v>30083.19</v>
      </c>
      <c r="D23" s="23">
        <v>40587.457777777774</v>
      </c>
      <c r="E23" s="19">
        <f t="shared" si="2"/>
        <v>0.25880575805684031</v>
      </c>
      <c r="F23" s="19">
        <f t="shared" si="3"/>
        <v>0.20880575805684032</v>
      </c>
      <c r="G23" s="20">
        <v>1</v>
      </c>
      <c r="H23" s="20">
        <v>9</v>
      </c>
      <c r="I23" s="21">
        <f t="shared" si="4"/>
        <v>0</v>
      </c>
      <c r="J23" s="21">
        <f t="shared" si="5"/>
        <v>0</v>
      </c>
      <c r="K23" s="22">
        <f t="shared" si="1"/>
        <v>0</v>
      </c>
    </row>
    <row r="24" spans="1:11" ht="23.25" customHeight="1" x14ac:dyDescent="0.35">
      <c r="A24" s="89" t="s">
        <v>12</v>
      </c>
      <c r="B24" s="9" t="s">
        <v>7</v>
      </c>
      <c r="C24" s="18">
        <v>0</v>
      </c>
      <c r="D24" s="18">
        <v>42368.923333333332</v>
      </c>
      <c r="E24" s="19" t="str">
        <f t="shared" si="2"/>
        <v xml:space="preserve"> </v>
      </c>
      <c r="F24" s="19" t="str">
        <f t="shared" si="3"/>
        <v xml:space="preserve"> </v>
      </c>
      <c r="G24" s="20">
        <v>0</v>
      </c>
      <c r="H24" s="20">
        <v>3</v>
      </c>
      <c r="I24" s="21">
        <f t="shared" si="4"/>
        <v>0</v>
      </c>
      <c r="J24" s="21">
        <f t="shared" si="5"/>
        <v>0</v>
      </c>
      <c r="K24" s="22">
        <f t="shared" si="1"/>
        <v>0</v>
      </c>
    </row>
    <row r="25" spans="1:11" ht="23.25" x14ac:dyDescent="0.35">
      <c r="A25" s="89"/>
      <c r="B25" s="9" t="s">
        <v>4</v>
      </c>
      <c r="C25" s="18">
        <v>45368.66333333333</v>
      </c>
      <c r="D25" s="18">
        <v>55434.46</v>
      </c>
      <c r="E25" s="19">
        <f t="shared" si="2"/>
        <v>0.18158013384935415</v>
      </c>
      <c r="F25" s="19">
        <f t="shared" si="3"/>
        <v>0.13158013384935413</v>
      </c>
      <c r="G25" s="20">
        <v>3</v>
      </c>
      <c r="H25" s="20">
        <v>4</v>
      </c>
      <c r="I25" s="21">
        <f t="shared" si="4"/>
        <v>1</v>
      </c>
      <c r="J25" s="21">
        <f t="shared" si="5"/>
        <v>7</v>
      </c>
      <c r="K25" s="22">
        <f t="shared" si="1"/>
        <v>2.7910937483196334E-2</v>
      </c>
    </row>
    <row r="26" spans="1:11" ht="23.25" x14ac:dyDescent="0.35">
      <c r="A26" s="89"/>
      <c r="B26" s="9" t="s">
        <v>5</v>
      </c>
      <c r="C26" s="23">
        <v>70236.51999999999</v>
      </c>
      <c r="D26" s="23">
        <v>52998.326666666668</v>
      </c>
      <c r="E26" s="19">
        <f t="shared" si="2"/>
        <v>-0.32525920000744657</v>
      </c>
      <c r="F26" s="19">
        <f t="shared" si="3"/>
        <v>-0.27525920000744658</v>
      </c>
      <c r="G26" s="20">
        <v>1</v>
      </c>
      <c r="H26" s="20">
        <v>9</v>
      </c>
      <c r="I26" s="21">
        <f t="shared" si="4"/>
        <v>0</v>
      </c>
      <c r="J26" s="21">
        <f t="shared" si="5"/>
        <v>0</v>
      </c>
      <c r="K26" s="22">
        <f t="shared" si="1"/>
        <v>0</v>
      </c>
    </row>
    <row r="27" spans="1:11" ht="23.25" x14ac:dyDescent="0.35">
      <c r="A27" s="89"/>
      <c r="B27" s="9" t="s">
        <v>6</v>
      </c>
      <c r="C27" s="23">
        <v>57511.210000000006</v>
      </c>
      <c r="D27" s="23">
        <v>68770.302500000005</v>
      </c>
      <c r="E27" s="19">
        <f t="shared" si="2"/>
        <v>0.16372027009769222</v>
      </c>
      <c r="F27" s="19">
        <f t="shared" si="3"/>
        <v>0.11372027009769221</v>
      </c>
      <c r="G27" s="20">
        <v>2</v>
      </c>
      <c r="H27" s="20">
        <v>12</v>
      </c>
      <c r="I27" s="21">
        <f t="shared" si="4"/>
        <v>0</v>
      </c>
      <c r="J27" s="21">
        <f t="shared" si="5"/>
        <v>0</v>
      </c>
      <c r="K27" s="22">
        <f t="shared" si="1"/>
        <v>0</v>
      </c>
    </row>
    <row r="28" spans="1:11" ht="36.75" customHeight="1" x14ac:dyDescent="0.25">
      <c r="A28" s="90" t="s">
        <v>27</v>
      </c>
      <c r="B28" s="90"/>
      <c r="C28" s="31">
        <f>SUMPRODUCT(C12:C27,G12:G27)/SUM(G12:G27)</f>
        <v>36833.544444444444</v>
      </c>
      <c r="D28" s="31">
        <f>SUMPRODUCT(D12:D27,H12:H27)/SUM(H12:H27)</f>
        <v>36165.088156028374</v>
      </c>
      <c r="E28" s="32">
        <f>IF(AND(C28&gt;0,D28&gt;0),(D28-C28)/D28," ")</f>
        <v>-1.8483469071943748E-2</v>
      </c>
      <c r="F28" s="33"/>
      <c r="G28" s="91">
        <f>SUM(G12:H27)</f>
        <v>159</v>
      </c>
      <c r="H28" s="92"/>
      <c r="I28" s="33"/>
      <c r="J28" s="33">
        <f>SUM(J12:J27)</f>
        <v>33</v>
      </c>
      <c r="K28" s="72">
        <f>SUM(K12:K27)</f>
        <v>2.7910937483196334E-2</v>
      </c>
    </row>
    <row r="30" spans="1:11" s="68" customFormat="1" ht="23.25" x14ac:dyDescent="0.35">
      <c r="A30" s="69" t="s">
        <v>58</v>
      </c>
      <c r="B30" s="69"/>
      <c r="C30" s="69"/>
      <c r="H30" s="69"/>
    </row>
    <row r="31" spans="1:11" s="68" customFormat="1" ht="23.25" x14ac:dyDescent="0.35">
      <c r="A31" s="69"/>
      <c r="H31" s="69"/>
    </row>
    <row r="32" spans="1:11" ht="23.25" x14ac:dyDescent="0.35">
      <c r="A32" s="11" t="s">
        <v>18</v>
      </c>
      <c r="B32" s="4"/>
      <c r="D32" s="38">
        <f>IF(G28&gt;0,IF(J28&gt;=40%*G28,1,0),"#N/A")</f>
        <v>0</v>
      </c>
      <c r="E32" s="12" t="str">
        <f>IF(D32=1,"Les effectifs valides représentent plus de 40 % des effectifs totaux.",IF(D32=0,"Les effectifs valides représentent moins de 40 % des effectifs totaux."," "))</f>
        <v>Les effectifs valides représentent moins de 40 % des effectifs totaux.</v>
      </c>
      <c r="H32" s="4"/>
    </row>
    <row r="33" spans="1:8" ht="23.25" x14ac:dyDescent="0.35">
      <c r="A33" s="11" t="s">
        <v>16</v>
      </c>
      <c r="B33" s="4"/>
      <c r="D33" s="14" t="str">
        <f>IF(D32=1,ABS(ROUND(100*K28,1)),IF(D32=0,"INCALCULABLE","#N/A"))</f>
        <v>INCALCULABLE</v>
      </c>
      <c r="E33" s="12" t="str">
        <f>IF(AND(K28&gt;0,D32=1),"Un écart de rémunération est constaté en faveur des hommes.",IF(AND(K28&lt;0,D32=1),"Un écart de rémunération est constaté en faveur des femmes."," "))</f>
        <v xml:space="preserve"> </v>
      </c>
      <c r="H33" s="4"/>
    </row>
    <row r="34" spans="1:8" ht="23.25" x14ac:dyDescent="0.35">
      <c r="A34" s="11" t="s">
        <v>17</v>
      </c>
      <c r="B34" s="4"/>
      <c r="D34" s="17" t="e">
        <f>VLOOKUP(D33,barèmes!B5:C26,2)</f>
        <v>#N/A</v>
      </c>
    </row>
  </sheetData>
  <mergeCells count="16">
    <mergeCell ref="G28:H28"/>
    <mergeCell ref="D8:K8"/>
    <mergeCell ref="I10:I11"/>
    <mergeCell ref="K10:K11"/>
    <mergeCell ref="J10:J11"/>
    <mergeCell ref="F10:F11"/>
    <mergeCell ref="G10:H10"/>
    <mergeCell ref="A10:A11"/>
    <mergeCell ref="C10:D10"/>
    <mergeCell ref="E10:E11"/>
    <mergeCell ref="B10:B11"/>
    <mergeCell ref="A28:B28"/>
    <mergeCell ref="A20:A23"/>
    <mergeCell ref="A16:A19"/>
    <mergeCell ref="A12:A15"/>
    <mergeCell ref="A24:A27"/>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4"/>
  <sheetViews>
    <sheetView zoomScale="80" zoomScaleNormal="80" workbookViewId="0">
      <selection activeCell="G22" sqref="G22"/>
    </sheetView>
  </sheetViews>
  <sheetFormatPr baseColWidth="10" defaultRowHeight="15" x14ac:dyDescent="0.25"/>
  <cols>
    <col min="1" max="1" width="59.7109375" customWidth="1"/>
    <col min="2" max="2" width="19.42578125" customWidth="1"/>
    <col min="3" max="3" width="17.7109375" customWidth="1"/>
    <col min="4" max="4" width="18" customWidth="1"/>
    <col min="5" max="7" width="16.85546875" customWidth="1"/>
    <col min="8" max="8" width="18.85546875" customWidth="1"/>
    <col min="9" max="10" width="21.140625" customWidth="1"/>
    <col min="11" max="11" width="9.5703125" customWidth="1"/>
  </cols>
  <sheetData>
    <row r="1" spans="1:10" ht="33.75" x14ac:dyDescent="0.25">
      <c r="A1" s="10" t="s">
        <v>41</v>
      </c>
      <c r="C1" s="1"/>
    </row>
    <row r="3" spans="1:10" s="68" customFormat="1" ht="21" x14ac:dyDescent="0.35">
      <c r="A3" s="70" t="s">
        <v>55</v>
      </c>
    </row>
    <row r="4" spans="1:10" s="68" customFormat="1" ht="21" x14ac:dyDescent="0.35">
      <c r="A4" s="70" t="s">
        <v>57</v>
      </c>
    </row>
    <row r="5" spans="1:10" s="68" customFormat="1" ht="21" x14ac:dyDescent="0.35">
      <c r="A5" s="70" t="s">
        <v>54</v>
      </c>
    </row>
    <row r="7" spans="1:10" ht="74.25" customHeight="1" x14ac:dyDescent="0.25">
      <c r="A7" s="89"/>
      <c r="B7" s="89" t="s">
        <v>61</v>
      </c>
      <c r="C7" s="89"/>
      <c r="D7" s="94" t="s">
        <v>23</v>
      </c>
      <c r="E7" s="95"/>
      <c r="F7" s="94" t="s">
        <v>62</v>
      </c>
      <c r="G7" s="95"/>
      <c r="H7" s="89" t="s">
        <v>42</v>
      </c>
      <c r="I7" s="89" t="s">
        <v>64</v>
      </c>
      <c r="J7" s="89" t="s">
        <v>65</v>
      </c>
    </row>
    <row r="8" spans="1:10" ht="23.25" x14ac:dyDescent="0.25">
      <c r="A8" s="89"/>
      <c r="B8" s="8" t="s">
        <v>0</v>
      </c>
      <c r="C8" s="8" t="s">
        <v>1</v>
      </c>
      <c r="D8" s="8" t="s">
        <v>0</v>
      </c>
      <c r="E8" s="8" t="s">
        <v>1</v>
      </c>
      <c r="F8" s="71" t="s">
        <v>0</v>
      </c>
      <c r="G8" s="71" t="s">
        <v>1</v>
      </c>
      <c r="H8" s="89"/>
      <c r="I8" s="89"/>
      <c r="J8" s="89"/>
    </row>
    <row r="9" spans="1:10" ht="34.5" customHeight="1" x14ac:dyDescent="0.25">
      <c r="A9" s="34" t="s">
        <v>27</v>
      </c>
      <c r="B9" s="88">
        <v>0.77777777777777779</v>
      </c>
      <c r="C9" s="88">
        <v>0.900709219858156</v>
      </c>
      <c r="D9" s="82">
        <f>SUM('1- écart rémunération'!G12:G27)</f>
        <v>18</v>
      </c>
      <c r="E9" s="82">
        <f>SUM('1- écart rémunération'!H12:H27)</f>
        <v>141</v>
      </c>
      <c r="F9" s="75">
        <f>B9/D9</f>
        <v>4.3209876543209874E-2</v>
      </c>
      <c r="G9" s="75">
        <f>C9/E9</f>
        <v>6.3880086514762841E-3</v>
      </c>
      <c r="H9" s="75">
        <f>G9-F9</f>
        <v>-3.6821867891733591E-2</v>
      </c>
      <c r="I9" s="76">
        <f>IF(AND(0&lt;=B9,B9&lt;=D9,0&lt;=C9,C9&lt;=E9),ABS(F9-G9),"#VALEUR!")</f>
        <v>3.6821867891733591E-2</v>
      </c>
      <c r="J9" s="78">
        <f>I9*MIN(D9,E9)</f>
        <v>0.66279362205120462</v>
      </c>
    </row>
    <row r="10" spans="1:10" s="28" customFormat="1" ht="25.5" customHeight="1" x14ac:dyDescent="0.25">
      <c r="A10" s="86" t="s">
        <v>86</v>
      </c>
      <c r="B10" s="86"/>
      <c r="C10" s="86"/>
      <c r="D10" s="86"/>
      <c r="E10" s="86"/>
      <c r="F10" s="86"/>
      <c r="G10" s="86"/>
      <c r="H10" s="86"/>
      <c r="I10" s="87" t="str">
        <f>IF(I9="#VALEUR!","Incohérence dans les nombres de salariés saisis."," ")</f>
        <v xml:space="preserve"> </v>
      </c>
      <c r="J10" s="86"/>
    </row>
    <row r="11" spans="1:10" s="28" customFormat="1" ht="23.25" customHeight="1" x14ac:dyDescent="0.35">
      <c r="A11" s="29" t="s">
        <v>63</v>
      </c>
      <c r="B11" s="25"/>
      <c r="C11" s="25"/>
      <c r="D11" s="27"/>
      <c r="E11" s="27"/>
      <c r="F11" s="27"/>
      <c r="G11" s="27"/>
      <c r="H11" s="27"/>
      <c r="I11" s="26"/>
      <c r="J11" s="26"/>
    </row>
    <row r="12" spans="1:10" s="28" customFormat="1" ht="23.25" customHeight="1" x14ac:dyDescent="0.35">
      <c r="A12" s="29" t="s">
        <v>87</v>
      </c>
      <c r="B12" s="25"/>
      <c r="C12" s="25"/>
      <c r="D12" s="27"/>
      <c r="E12" s="27"/>
      <c r="F12" s="27"/>
      <c r="G12" s="27"/>
      <c r="H12" s="27"/>
      <c r="I12" s="26"/>
      <c r="J12" s="26"/>
    </row>
    <row r="14" spans="1:10" ht="23.25" x14ac:dyDescent="0.35">
      <c r="A14" s="11" t="s">
        <v>18</v>
      </c>
      <c r="D14" s="38">
        <f>IF(AND(ISBLANK(B9),ISBLANK(C9)),"#N/A",IF(AND(D9&gt;=5,E9&gt;=5,B9+C9&gt;0),1,0))</f>
        <v>1</v>
      </c>
      <c r="E14" s="30" t="str">
        <f>IF(D14=1,"Il y a eu des augmentations et les effectifs comportent au moins 5 femmes et 5 hommes.",IF(OR(D9&lt;5,E9&lt;5),"Les effectifs comprennent moins de 5 femmes ou moins de 5 hommes.",IF(AND(ISBLANK(B9),ISBLANK(C9))," ","Il n'y a pas eu d'augmentations dans l'entreprise.")))</f>
        <v>Il y a eu des augmentations et les effectifs comportent au moins 5 femmes et 5 hommes.</v>
      </c>
      <c r="F14" s="4"/>
      <c r="G14" s="4"/>
      <c r="H14" s="4"/>
    </row>
    <row r="15" spans="1:10" ht="23.25" x14ac:dyDescent="0.35">
      <c r="A15" s="11" t="s">
        <v>66</v>
      </c>
      <c r="D15" s="14">
        <f>IF(D14=1,ABS(ROUND(100*I9,1)),IF(D14=0,"INCALCULABLE","#N/A"))</f>
        <v>3.7</v>
      </c>
      <c r="E15" s="30" t="str">
        <f>IF(AND(H9&gt;=0.05%,D14=1),"Un écart de taux d'augmentation est constaté en faveur des hommes.",IF(AND(H9&lt;=-0.05%,D14=1),"Un écart de taux d'augmentation est constaté en faveur des femmes."," "))</f>
        <v>Un écart de taux d'augmentation est constaté en faveur des femmes.</v>
      </c>
      <c r="F15" s="4"/>
      <c r="G15" s="4"/>
      <c r="H15" s="4"/>
    </row>
    <row r="16" spans="1:10" ht="23.25" x14ac:dyDescent="0.35">
      <c r="A16" s="11" t="s">
        <v>69</v>
      </c>
      <c r="D16" s="14">
        <f>IF(D14=1,ABS(ROUND(J9,1)),IF(D14=0,"INCALCULABLE","#N/A"))</f>
        <v>0.7</v>
      </c>
      <c r="E16" s="96" t="str">
        <f>IF(AND(D14=1,H9&gt;=0.05%,E9&gt;=D9),'2 - message'!C4,IF(AND(D14=1,H9&gt;=0.05%,E9&lt;D9),'2 - message'!C5,IF(AND(D14=1,H9&lt;=-0.05%,E9&lt;=D9),'2 - message'!C8,IF(AND(D14=1,H9&lt;=-0.05%,D9&lt;E9),'2 - message'!C7," "))))</f>
        <v>Si ce nombre de femmes n'avait pas reçu d'augmentation parmi les bénéficiaires, les taux d'augmentation seraient égaux entre hommes et femmes.</v>
      </c>
      <c r="F16" s="96"/>
      <c r="G16" s="96"/>
      <c r="H16" s="96"/>
      <c r="I16" s="96"/>
      <c r="J16" s="96"/>
    </row>
    <row r="17" spans="1:10" s="28" customFormat="1" ht="23.25" x14ac:dyDescent="0.35">
      <c r="A17" s="84"/>
      <c r="D17" s="85"/>
      <c r="E17" s="96"/>
      <c r="F17" s="96"/>
      <c r="G17" s="96"/>
      <c r="H17" s="96"/>
      <c r="I17" s="96"/>
      <c r="J17" s="96"/>
    </row>
    <row r="18" spans="1:10" ht="23.25" x14ac:dyDescent="0.35">
      <c r="A18" s="11" t="s">
        <v>67</v>
      </c>
      <c r="D18" s="77">
        <f>IF('1- écart rémunération'!D32=1,IF(AND('1- écart rémunération'!D34&lt;MAX(barèmes!C5:C26), SIGN(H9)=-SIGN('1- écart rémunération'!K28)),MAX(barèmes!F5:F8),VLOOKUP(D15,barèmes!E5:F8,2)),VLOOKUP(D15,barèmes!E5:F8,2))</f>
        <v>25</v>
      </c>
      <c r="E18" s="30"/>
      <c r="F18" s="4"/>
      <c r="G18" s="4"/>
      <c r="H18" s="4"/>
    </row>
    <row r="19" spans="1:10" ht="23.25" x14ac:dyDescent="0.35">
      <c r="A19" s="11" t="s">
        <v>68</v>
      </c>
      <c r="D19" s="77">
        <f>IF('1- écart rémunération'!D32=1,IF(AND('1- écart rémunération'!D34&lt;MAX(barèmes!C5:C26), SIGN(H9)=-SIGN('1- écart rémunération'!K28)),MAX(barèmes!F5:F8),VLOOKUP(D16,barèmes!E5:F8,2)),VLOOKUP(D16,barèmes!E5:F8,2))</f>
        <v>35</v>
      </c>
      <c r="E19" s="30"/>
      <c r="F19" s="4"/>
      <c r="G19" s="4"/>
      <c r="H19" s="4"/>
    </row>
    <row r="20" spans="1:10" ht="23.25" x14ac:dyDescent="0.35">
      <c r="A20" s="11" t="s">
        <v>85</v>
      </c>
      <c r="D20" s="17">
        <f>MAX(D18,D19)</f>
        <v>35</v>
      </c>
      <c r="E20" s="30" t="str">
        <f>IF('1- écart rémunération'!D32=1,IF(AND('1- écart rémunération'!D34&lt;MAX(barèmes!C5:C26), SIGN(H9)=-SIGN('1- écart rémunération'!K28),D15&gt;=0.1),"L'écart d'augmentations réduit l'écart de rémunération. Tous les points sont accordés."," ")," ")</f>
        <v xml:space="preserve"> </v>
      </c>
      <c r="F20" s="4"/>
      <c r="G20" s="4"/>
      <c r="H20" s="4"/>
    </row>
    <row r="24" spans="1:10" x14ac:dyDescent="0.25">
      <c r="B24" s="73"/>
      <c r="C24" s="73"/>
    </row>
  </sheetData>
  <mergeCells count="8">
    <mergeCell ref="A7:A8"/>
    <mergeCell ref="B7:C7"/>
    <mergeCell ref="I7:I8"/>
    <mergeCell ref="E16:J17"/>
    <mergeCell ref="D7:E7"/>
    <mergeCell ref="F7:G7"/>
    <mergeCell ref="H7:H8"/>
    <mergeCell ref="J7:J8"/>
  </mergeCells>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12"/>
  <sheetViews>
    <sheetView workbookViewId="0">
      <selection activeCell="C27" sqref="C27"/>
    </sheetView>
  </sheetViews>
  <sheetFormatPr baseColWidth="10" defaultRowHeight="15" x14ac:dyDescent="0.25"/>
  <cols>
    <col min="1" max="1" width="20.140625" customWidth="1"/>
    <col min="2" max="2" width="17.42578125" customWidth="1"/>
    <col min="3" max="3" width="136" customWidth="1"/>
  </cols>
  <sheetData>
    <row r="2" spans="1:3" x14ac:dyDescent="0.25">
      <c r="A2" s="99" t="s">
        <v>70</v>
      </c>
      <c r="B2" s="99"/>
      <c r="C2" s="97" t="s">
        <v>79</v>
      </c>
    </row>
    <row r="3" spans="1:3" ht="33.75" customHeight="1" x14ac:dyDescent="0.25">
      <c r="A3" s="79" t="s">
        <v>71</v>
      </c>
      <c r="B3" s="79" t="s">
        <v>72</v>
      </c>
      <c r="C3" s="98"/>
    </row>
    <row r="4" spans="1:3" x14ac:dyDescent="0.25">
      <c r="A4" t="s">
        <v>1</v>
      </c>
      <c r="B4" t="s">
        <v>0</v>
      </c>
      <c r="C4" s="80" t="s">
        <v>75</v>
      </c>
    </row>
    <row r="5" spans="1:3" x14ac:dyDescent="0.25">
      <c r="A5" t="s">
        <v>1</v>
      </c>
      <c r="B5" t="s">
        <v>1</v>
      </c>
      <c r="C5" s="80" t="s">
        <v>73</v>
      </c>
    </row>
    <row r="6" spans="1:3" x14ac:dyDescent="0.25">
      <c r="A6" t="s">
        <v>1</v>
      </c>
      <c r="B6" t="s">
        <v>78</v>
      </c>
      <c r="C6" t="str">
        <f>C4</f>
        <v>Si ce nombre de femmes supplémentaires avait bénéficié d'une augmentation, les taux d'augmentation seraient égaux entre hommes et femmes.</v>
      </c>
    </row>
    <row r="7" spans="1:3" x14ac:dyDescent="0.25">
      <c r="A7" t="s">
        <v>0</v>
      </c>
      <c r="B7" t="s">
        <v>0</v>
      </c>
      <c r="C7" s="80" t="s">
        <v>74</v>
      </c>
    </row>
    <row r="8" spans="1:3" x14ac:dyDescent="0.25">
      <c r="A8" t="s">
        <v>0</v>
      </c>
      <c r="B8" t="s">
        <v>1</v>
      </c>
      <c r="C8" s="80" t="s">
        <v>76</v>
      </c>
    </row>
    <row r="9" spans="1:3" x14ac:dyDescent="0.25">
      <c r="A9" t="s">
        <v>0</v>
      </c>
      <c r="B9" t="s">
        <v>78</v>
      </c>
      <c r="C9" t="str">
        <f>C8</f>
        <v>Si ce nombre d'hommes supplémentaires avait bénéficié d'une augmentation, les taux d'augmentation seraient égaux entre hommes et femmes.</v>
      </c>
    </row>
    <row r="10" spans="1:3" x14ac:dyDescent="0.25">
      <c r="A10" t="s">
        <v>77</v>
      </c>
      <c r="B10" t="s">
        <v>0</v>
      </c>
    </row>
    <row r="11" spans="1:3" x14ac:dyDescent="0.25">
      <c r="A11" t="s">
        <v>77</v>
      </c>
      <c r="B11" t="s">
        <v>1</v>
      </c>
    </row>
    <row r="12" spans="1:3" x14ac:dyDescent="0.25">
      <c r="A12" t="s">
        <v>77</v>
      </c>
      <c r="B12" t="s">
        <v>78</v>
      </c>
    </row>
  </sheetData>
  <mergeCells count="2">
    <mergeCell ref="C2:C3"/>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
  <sheetViews>
    <sheetView zoomScale="80" zoomScaleNormal="80" workbookViewId="0">
      <selection activeCell="D8" sqref="D8"/>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100" t="s">
        <v>90</v>
      </c>
      <c r="B1" s="101"/>
      <c r="C1" s="101"/>
      <c r="D1" s="101"/>
      <c r="E1" s="101"/>
      <c r="F1" s="101"/>
      <c r="G1" s="101"/>
      <c r="H1" s="101"/>
      <c r="I1" s="101"/>
      <c r="J1" s="101"/>
      <c r="K1" s="101"/>
      <c r="L1" s="101"/>
      <c r="M1" s="101"/>
    </row>
    <row r="3" spans="1:13" s="68" customFormat="1" ht="21" x14ac:dyDescent="0.35">
      <c r="A3" s="70" t="s">
        <v>55</v>
      </c>
    </row>
    <row r="4" spans="1:13" s="68" customFormat="1" ht="21" x14ac:dyDescent="0.35">
      <c r="A4" s="70" t="s">
        <v>57</v>
      </c>
    </row>
    <row r="6" spans="1:13" ht="74.25" customHeight="1" x14ac:dyDescent="0.25">
      <c r="A6" s="89"/>
      <c r="B6" s="89" t="s">
        <v>92</v>
      </c>
      <c r="C6" s="89"/>
      <c r="D6" s="89" t="s">
        <v>47</v>
      </c>
    </row>
    <row r="7" spans="1:13" ht="23.25" x14ac:dyDescent="0.25">
      <c r="A7" s="89"/>
      <c r="B7" s="8" t="s">
        <v>46</v>
      </c>
      <c r="C7" s="8" t="s">
        <v>91</v>
      </c>
      <c r="D7" s="89"/>
    </row>
    <row r="8" spans="1:13" ht="32.25" customHeight="1" x14ac:dyDescent="0.25">
      <c r="A8" s="34" t="s">
        <v>27</v>
      </c>
      <c r="B8" s="35">
        <v>0</v>
      </c>
      <c r="C8" s="35">
        <v>0</v>
      </c>
      <c r="D8" s="74" t="str">
        <f>IF(C12=1, IF(AND(C8&gt;=0,C8&lt;=B8),C8/B8,"ERREUR")," ")</f>
        <v xml:space="preserve"> </v>
      </c>
    </row>
    <row r="9" spans="1:13" s="28" customFormat="1" ht="129" customHeight="1" x14ac:dyDescent="0.35">
      <c r="A9" s="102" t="s">
        <v>89</v>
      </c>
      <c r="B9" s="103"/>
      <c r="C9" s="103"/>
      <c r="D9" s="103"/>
    </row>
    <row r="10" spans="1:13" s="28" customFormat="1" ht="51" customHeight="1" x14ac:dyDescent="0.25">
      <c r="A10" s="104" t="s">
        <v>93</v>
      </c>
      <c r="B10" s="105"/>
      <c r="C10" s="105"/>
      <c r="D10" s="105"/>
    </row>
    <row r="12" spans="1:13" ht="23.25" x14ac:dyDescent="0.35">
      <c r="A12" s="11" t="s">
        <v>18</v>
      </c>
      <c r="C12" s="83">
        <f>IF(ISBLANK(B8),"#N/A",IF(B8&gt;0,1,0))</f>
        <v>0</v>
      </c>
      <c r="D12" s="30" t="str">
        <f>IF(C12=1,"Il y a eu au moins un retour de congé maternité avec augmentation pendant ce congé.",IF(C12=0,"Il n'y a pas eu de retour de congé maternité avec augmentation pendant ce congé."," "))</f>
        <v>Il n'y a pas eu de retour de congé maternité avec augmentation pendant ce congé.</v>
      </c>
      <c r="E12" s="4"/>
    </row>
    <row r="13" spans="1:13" ht="71.25" customHeight="1" x14ac:dyDescent="0.35">
      <c r="A13" s="106" t="s">
        <v>48</v>
      </c>
      <c r="B13" s="106"/>
      <c r="C13" s="14" t="str">
        <f>IF(C12=1,ABS(ROUND(100*D8,1)),IF(C12=0,"INCALCULABLE","#N/A"))</f>
        <v>INCALCULABLE</v>
      </c>
      <c r="D13" s="41"/>
      <c r="E13" s="30"/>
    </row>
    <row r="14" spans="1:13" ht="44.25" customHeight="1" x14ac:dyDescent="0.25">
      <c r="A14" s="42" t="s">
        <v>49</v>
      </c>
      <c r="B14" s="43"/>
      <c r="C14" s="44" t="e">
        <f>VLOOKUP(C13,barèmes!H5:I6,2)</f>
        <v>#N/A</v>
      </c>
      <c r="D14" s="93" t="e">
        <f>IF(C14=0,"Les salariés de retour de congé maternité ou d’adoption, durant lequel des augmentations sont intervenues, n’ont pas tous été augmentés. Aucun point n’est accordé.",IF(C14=MAX(barèmes!I5:I6),"Tous les salariés de retour de congé maternité ou d’adoption, durant lequel des augmentations sont intervenues, ont été augmentés. Tous les points sont accordés."," "))</f>
        <v>#N/A</v>
      </c>
      <c r="E14" s="93"/>
      <c r="F14" s="93"/>
      <c r="G14" s="93"/>
      <c r="H14" s="93"/>
      <c r="I14" s="93"/>
      <c r="J14" s="93"/>
      <c r="K14" s="93"/>
      <c r="L14" s="93"/>
      <c r="M14" s="93"/>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2"/>
  <sheetViews>
    <sheetView zoomScale="80" zoomScaleNormal="80" workbookViewId="0">
      <selection activeCell="D8" sqref="D8"/>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0" t="s">
        <v>82</v>
      </c>
      <c r="C1" s="1"/>
      <c r="D1" s="1"/>
    </row>
    <row r="3" spans="1:5" s="68" customFormat="1" ht="21" x14ac:dyDescent="0.35">
      <c r="A3" s="70" t="s">
        <v>55</v>
      </c>
    </row>
    <row r="4" spans="1:5" s="68" customFormat="1" ht="21" x14ac:dyDescent="0.35">
      <c r="A4" s="70" t="s">
        <v>57</v>
      </c>
    </row>
    <row r="6" spans="1:5" ht="74.25" customHeight="1" x14ac:dyDescent="0.25">
      <c r="A6" s="89"/>
      <c r="B6" s="94" t="s">
        <v>25</v>
      </c>
      <c r="C6" s="107"/>
      <c r="D6" s="95"/>
      <c r="E6" s="89" t="s">
        <v>28</v>
      </c>
    </row>
    <row r="7" spans="1:5" ht="23.25" x14ac:dyDescent="0.25">
      <c r="A7" s="89"/>
      <c r="B7" s="8" t="s">
        <v>0</v>
      </c>
      <c r="C7" s="8" t="s">
        <v>1</v>
      </c>
      <c r="D7" s="8" t="s">
        <v>11</v>
      </c>
      <c r="E7" s="89"/>
    </row>
    <row r="8" spans="1:5" ht="45" customHeight="1" x14ac:dyDescent="0.25">
      <c r="A8" s="34" t="s">
        <v>27</v>
      </c>
      <c r="B8" s="35">
        <v>2</v>
      </c>
      <c r="C8" s="35">
        <v>8</v>
      </c>
      <c r="D8" s="36">
        <f>B8+C8</f>
        <v>10</v>
      </c>
      <c r="E8" s="37">
        <f>IF(D8=10,MIN(B8,C8),"TOTAL différent de 10")</f>
        <v>2</v>
      </c>
    </row>
    <row r="9" spans="1:5" s="28" customFormat="1" ht="23.25" customHeight="1" x14ac:dyDescent="0.35">
      <c r="A9" s="29" t="s">
        <v>26</v>
      </c>
      <c r="B9" s="25"/>
      <c r="C9" s="25"/>
      <c r="D9" s="25"/>
      <c r="E9" s="26"/>
    </row>
    <row r="11" spans="1:5" ht="68.25" customHeight="1" x14ac:dyDescent="0.35">
      <c r="A11" s="106" t="s">
        <v>30</v>
      </c>
      <c r="B11" s="101"/>
      <c r="C11" s="66">
        <f>E8</f>
        <v>2</v>
      </c>
      <c r="D11" s="30" t="str">
        <f>IF(D8=10,IF(B8&gt;C8,"Les hommes sont sous-représentés parmi les salariés les mieux rémunérés.",IF(C8&gt;B8,"Les femmes sont sous-représentées parmi les salariés les mieux rémunérés.","Les hommes et les femmes sont à parité parmi les salariés les mieux rémunérés."))," ")</f>
        <v>Les femmes sont sous-représentées parmi les salariés les mieux rémunérés.</v>
      </c>
    </row>
    <row r="12" spans="1:5" ht="23.25" x14ac:dyDescent="0.35">
      <c r="A12" s="11" t="s">
        <v>29</v>
      </c>
      <c r="C12" s="67">
        <f>VLOOKUP(C11,barèmes!K5:L7,2)</f>
        <v>5</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tabSelected="1" zoomScale="80" zoomScaleNormal="80" workbookViewId="0">
      <selection activeCell="D16" sqref="D16"/>
    </sheetView>
  </sheetViews>
  <sheetFormatPr baseColWidth="10" defaultRowHeight="15" x14ac:dyDescent="0.25"/>
  <cols>
    <col min="1" max="1" width="48.5703125" customWidth="1"/>
    <col min="2" max="2" width="20.85546875" customWidth="1"/>
    <col min="3" max="3" width="27.5703125" customWidth="1"/>
    <col min="4" max="4" width="28.140625" customWidth="1"/>
    <col min="5" max="5" width="27.7109375" customWidth="1"/>
    <col min="6" max="6" width="30.7109375" customWidth="1"/>
  </cols>
  <sheetData>
    <row r="1" spans="1:6" ht="35.25" x14ac:dyDescent="0.25">
      <c r="A1" s="53" t="s">
        <v>31</v>
      </c>
    </row>
    <row r="3" spans="1:6" s="68" customFormat="1" ht="23.25" x14ac:dyDescent="0.35">
      <c r="A3" s="11" t="s">
        <v>24</v>
      </c>
      <c r="B3" s="69"/>
    </row>
    <row r="5" spans="1:6" ht="59.25" customHeight="1" thickBot="1" x14ac:dyDescent="0.3">
      <c r="A5" s="6"/>
      <c r="B5" s="5" t="s">
        <v>13</v>
      </c>
      <c r="C5" s="5" t="s">
        <v>21</v>
      </c>
      <c r="D5" s="5" t="s">
        <v>32</v>
      </c>
      <c r="E5" s="5" t="s">
        <v>22</v>
      </c>
      <c r="F5" s="5" t="s">
        <v>53</v>
      </c>
    </row>
    <row r="6" spans="1:6" ht="50.1" customHeight="1" thickTop="1" thickBot="1" x14ac:dyDescent="0.3">
      <c r="A6" s="2" t="s">
        <v>45</v>
      </c>
      <c r="B6" s="45">
        <f>'1- écart rémunération'!D32</f>
        <v>0</v>
      </c>
      <c r="C6" s="46" t="str">
        <f>'1- écart rémunération'!D33</f>
        <v>INCALCULABLE</v>
      </c>
      <c r="D6" s="45" t="str">
        <f>IF(B6=1,'1- écart rémunération'!D34," ")</f>
        <v xml:space="preserve"> </v>
      </c>
      <c r="E6" s="50">
        <v>40</v>
      </c>
      <c r="F6" s="50">
        <f>B6*E6</f>
        <v>0</v>
      </c>
    </row>
    <row r="7" spans="1:6" ht="56.25" customHeight="1" thickBot="1" x14ac:dyDescent="0.3">
      <c r="A7" s="3" t="s">
        <v>80</v>
      </c>
      <c r="B7" s="47">
        <f>'2- écart augmentations'!D14</f>
        <v>1</v>
      </c>
      <c r="C7" s="81">
        <f>IF(B7=1,MIN('2- écart augmentations'!D15,'2- écart augmentations'!D16),IF(B7=0,"INCALCULABLE","#N/A"))</f>
        <v>0.7</v>
      </c>
      <c r="D7" s="47">
        <f>IF(B7=1,'2- écart augmentations'!D20," ")</f>
        <v>35</v>
      </c>
      <c r="E7" s="51">
        <v>35</v>
      </c>
      <c r="F7" s="51">
        <f t="shared" ref="F7:F9" si="0">B7*E7</f>
        <v>35</v>
      </c>
    </row>
    <row r="8" spans="1:6" ht="50.1" customHeight="1" thickBot="1" x14ac:dyDescent="0.3">
      <c r="A8" s="3" t="s">
        <v>81</v>
      </c>
      <c r="B8" s="47">
        <f>'3- AI maternité'!C12</f>
        <v>0</v>
      </c>
      <c r="C8" s="48" t="str">
        <f>'3- AI maternité'!C13</f>
        <v>INCALCULABLE</v>
      </c>
      <c r="D8" s="48" t="str">
        <f>IF(B8=1,'3- AI maternité'!C14," ")</f>
        <v xml:space="preserve"> </v>
      </c>
      <c r="E8" s="51">
        <v>15</v>
      </c>
      <c r="F8" s="51">
        <f t="shared" si="0"/>
        <v>0</v>
      </c>
    </row>
    <row r="9" spans="1:6" ht="60.75" customHeight="1" x14ac:dyDescent="0.25">
      <c r="A9" s="24" t="s">
        <v>82</v>
      </c>
      <c r="B9" s="49">
        <v>1</v>
      </c>
      <c r="C9" s="49">
        <f>'4- 10 + hautes rému'!C11</f>
        <v>2</v>
      </c>
      <c r="D9" s="49">
        <f>IF(B9=1,'4- 10 + hautes rému'!C12," ")</f>
        <v>5</v>
      </c>
      <c r="E9" s="52">
        <v>10</v>
      </c>
      <c r="F9" s="52">
        <f t="shared" si="0"/>
        <v>10</v>
      </c>
    </row>
    <row r="10" spans="1:6" ht="45" customHeight="1" x14ac:dyDescent="0.25">
      <c r="A10" s="54" t="s">
        <v>51</v>
      </c>
      <c r="B10" s="55"/>
      <c r="C10" s="55"/>
      <c r="D10" s="56">
        <f>SUM(D6:D9)</f>
        <v>40</v>
      </c>
      <c r="E10" s="57"/>
      <c r="F10" s="57">
        <f>SUM(F6:F9)</f>
        <v>45</v>
      </c>
    </row>
    <row r="11" spans="1:6" ht="45" customHeight="1" x14ac:dyDescent="0.25">
      <c r="A11" s="58" t="s">
        <v>50</v>
      </c>
      <c r="B11" s="59"/>
      <c r="C11" s="59"/>
      <c r="D11" s="60" t="str">
        <f>IF(F10&gt;=75,D10*100/F10,"INCALCULABLE")</f>
        <v>INCALCULABLE</v>
      </c>
      <c r="E11" s="61"/>
      <c r="F11" s="61">
        <v>100</v>
      </c>
    </row>
    <row r="12" spans="1:6" ht="21" x14ac:dyDescent="0.35">
      <c r="A12" s="30" t="str">
        <f>IF(F10&lt;75,"L'index est incalculable car le nombre de points maximum des indicateurs calculables est inférieur à 75.",IF(AND(F10&gt;=75,F10&lt;100),"Le total des indicateurs calculables est ramené sur 100 points en appliquant la règle de la proportionnalité."," "))</f>
        <v>L'index est incalculable car le nombre de points maximum des indicateurs calculables est inférieur à 75.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29"/>
  <sheetViews>
    <sheetView workbookViewId="0">
      <selection activeCell="H3" sqref="H3:I3"/>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8" max="9" width="15.5703125" customWidth="1"/>
    <col min="10" max="10" width="4.28515625" customWidth="1"/>
    <col min="11" max="12" width="15.5703125" customWidth="1"/>
  </cols>
  <sheetData>
    <row r="2" spans="2:12" ht="21" x14ac:dyDescent="0.35">
      <c r="B2" s="40" t="s">
        <v>52</v>
      </c>
    </row>
    <row r="3" spans="2:12" ht="81.75" customHeight="1" x14ac:dyDescent="0.25">
      <c r="B3" s="108" t="s">
        <v>43</v>
      </c>
      <c r="C3" s="108"/>
      <c r="E3" s="108" t="s">
        <v>44</v>
      </c>
      <c r="F3" s="108"/>
      <c r="H3" s="109" t="s">
        <v>83</v>
      </c>
      <c r="I3" s="109"/>
      <c r="K3" s="108" t="s">
        <v>84</v>
      </c>
      <c r="L3" s="108"/>
    </row>
    <row r="4" spans="2:12" x14ac:dyDescent="0.25">
      <c r="B4" t="s">
        <v>14</v>
      </c>
      <c r="C4" t="s">
        <v>15</v>
      </c>
      <c r="E4" t="s">
        <v>14</v>
      </c>
      <c r="F4" t="s">
        <v>15</v>
      </c>
      <c r="H4" s="28" t="s">
        <v>14</v>
      </c>
      <c r="I4" s="28" t="s">
        <v>15</v>
      </c>
      <c r="K4" t="s">
        <v>14</v>
      </c>
      <c r="L4" t="s">
        <v>15</v>
      </c>
    </row>
    <row r="5" spans="2:12" x14ac:dyDescent="0.25">
      <c r="B5" s="16">
        <v>0</v>
      </c>
      <c r="C5">
        <v>40</v>
      </c>
      <c r="E5" s="16">
        <v>0</v>
      </c>
      <c r="F5">
        <v>35</v>
      </c>
      <c r="H5" s="39">
        <v>0</v>
      </c>
      <c r="I5" s="28">
        <v>0</v>
      </c>
      <c r="K5" s="15">
        <v>0</v>
      </c>
      <c r="L5">
        <v>0</v>
      </c>
    </row>
    <row r="6" spans="2:12" x14ac:dyDescent="0.25">
      <c r="B6" s="16">
        <v>0.1</v>
      </c>
      <c r="C6">
        <v>39</v>
      </c>
      <c r="E6" s="16">
        <v>2.1</v>
      </c>
      <c r="F6">
        <v>25</v>
      </c>
      <c r="H6" s="39">
        <v>100</v>
      </c>
      <c r="I6" s="28">
        <v>15</v>
      </c>
      <c r="K6" s="15">
        <v>2</v>
      </c>
      <c r="L6">
        <v>5</v>
      </c>
    </row>
    <row r="7" spans="2:12" x14ac:dyDescent="0.25">
      <c r="B7" s="16">
        <f>B6+1</f>
        <v>1.1000000000000001</v>
      </c>
      <c r="C7">
        <v>38</v>
      </c>
      <c r="E7" s="16">
        <v>5.0999999999999996</v>
      </c>
      <c r="F7">
        <v>15</v>
      </c>
      <c r="K7" s="15">
        <v>4</v>
      </c>
      <c r="L7">
        <v>10</v>
      </c>
    </row>
    <row r="8" spans="2:12" x14ac:dyDescent="0.25">
      <c r="B8" s="16">
        <f t="shared" ref="B8:B25" si="0">B7+1</f>
        <v>2.1</v>
      </c>
      <c r="C8">
        <v>37</v>
      </c>
      <c r="E8" s="16">
        <v>10.1</v>
      </c>
      <c r="F8">
        <v>0</v>
      </c>
      <c r="K8" s="15"/>
    </row>
    <row r="9" spans="2:12" x14ac:dyDescent="0.25">
      <c r="B9" s="16">
        <f t="shared" si="0"/>
        <v>3.1</v>
      </c>
      <c r="C9">
        <v>36</v>
      </c>
      <c r="E9" s="16"/>
    </row>
    <row r="10" spans="2:12" x14ac:dyDescent="0.25">
      <c r="B10" s="16">
        <f t="shared" si="0"/>
        <v>4.0999999999999996</v>
      </c>
      <c r="C10">
        <v>35</v>
      </c>
      <c r="E10" s="16"/>
    </row>
    <row r="11" spans="2:12" x14ac:dyDescent="0.25">
      <c r="B11" s="16">
        <f t="shared" si="0"/>
        <v>5.0999999999999996</v>
      </c>
      <c r="C11">
        <v>34</v>
      </c>
      <c r="E11" s="16"/>
    </row>
    <row r="12" spans="2:12" x14ac:dyDescent="0.25">
      <c r="B12" s="16">
        <f t="shared" si="0"/>
        <v>6.1</v>
      </c>
      <c r="C12">
        <v>33</v>
      </c>
      <c r="E12" s="16"/>
    </row>
    <row r="13" spans="2:12" x14ac:dyDescent="0.25">
      <c r="B13" s="16">
        <f t="shared" si="0"/>
        <v>7.1</v>
      </c>
      <c r="C13">
        <v>31</v>
      </c>
      <c r="E13" s="16"/>
    </row>
    <row r="14" spans="2:12" x14ac:dyDescent="0.25">
      <c r="B14" s="16">
        <f t="shared" si="0"/>
        <v>8.1</v>
      </c>
      <c r="C14">
        <v>29</v>
      </c>
      <c r="E14" s="16"/>
    </row>
    <row r="15" spans="2:12" x14ac:dyDescent="0.25">
      <c r="B15" s="16">
        <f t="shared" si="0"/>
        <v>9.1</v>
      </c>
      <c r="C15">
        <v>27</v>
      </c>
      <c r="E15" s="16"/>
    </row>
    <row r="16" spans="2:12" x14ac:dyDescent="0.25">
      <c r="B16" s="16">
        <f t="shared" si="0"/>
        <v>10.1</v>
      </c>
      <c r="C16">
        <v>25</v>
      </c>
      <c r="E16" s="16"/>
    </row>
    <row r="17" spans="2:5" x14ac:dyDescent="0.25">
      <c r="B17" s="16">
        <f t="shared" si="0"/>
        <v>11.1</v>
      </c>
      <c r="C17">
        <v>23</v>
      </c>
      <c r="E17" s="16"/>
    </row>
    <row r="18" spans="2:5" x14ac:dyDescent="0.25">
      <c r="B18" s="16">
        <f t="shared" si="0"/>
        <v>12.1</v>
      </c>
      <c r="C18">
        <v>21</v>
      </c>
      <c r="E18" s="16"/>
    </row>
    <row r="19" spans="2:5" x14ac:dyDescent="0.25">
      <c r="B19" s="16">
        <f t="shared" si="0"/>
        <v>13.1</v>
      </c>
      <c r="C19">
        <v>19</v>
      </c>
      <c r="E19" s="16"/>
    </row>
    <row r="20" spans="2:5" x14ac:dyDescent="0.25">
      <c r="B20" s="16">
        <f t="shared" si="0"/>
        <v>14.1</v>
      </c>
      <c r="C20">
        <v>17</v>
      </c>
      <c r="E20" s="16"/>
    </row>
    <row r="21" spans="2:5" x14ac:dyDescent="0.25">
      <c r="B21" s="16">
        <f t="shared" si="0"/>
        <v>15.1</v>
      </c>
      <c r="C21">
        <v>14</v>
      </c>
      <c r="E21" s="16"/>
    </row>
    <row r="22" spans="2:5" x14ac:dyDescent="0.25">
      <c r="B22" s="16">
        <f t="shared" si="0"/>
        <v>16.100000000000001</v>
      </c>
      <c r="C22">
        <v>11</v>
      </c>
      <c r="E22" s="16"/>
    </row>
    <row r="23" spans="2:5" x14ac:dyDescent="0.25">
      <c r="B23" s="16">
        <f t="shared" si="0"/>
        <v>17.100000000000001</v>
      </c>
      <c r="C23">
        <v>8</v>
      </c>
      <c r="E23" s="16"/>
    </row>
    <row r="24" spans="2:5" x14ac:dyDescent="0.25">
      <c r="B24" s="16">
        <f t="shared" si="0"/>
        <v>18.100000000000001</v>
      </c>
      <c r="C24">
        <v>5</v>
      </c>
      <c r="E24" s="16"/>
    </row>
    <row r="25" spans="2:5" x14ac:dyDescent="0.25">
      <c r="B25" s="16">
        <f t="shared" si="0"/>
        <v>19.100000000000001</v>
      </c>
      <c r="C25">
        <v>2</v>
      </c>
      <c r="E25" s="16"/>
    </row>
    <row r="26" spans="2:5" x14ac:dyDescent="0.25">
      <c r="B26" s="16">
        <f t="shared" ref="B26" si="1">B25+1</f>
        <v>20.100000000000001</v>
      </c>
      <c r="C26">
        <v>0</v>
      </c>
    </row>
    <row r="27" spans="2:5" x14ac:dyDescent="0.25">
      <c r="B27" s="13"/>
    </row>
    <row r="28" spans="2:5" x14ac:dyDescent="0.25">
      <c r="B28" s="13"/>
    </row>
    <row r="29" spans="2:5" x14ac:dyDescent="0.25">
      <c r="B29" s="13"/>
    </row>
  </sheetData>
  <mergeCells count="4">
    <mergeCell ref="B3:C3"/>
    <mergeCell ref="E3:F3"/>
    <mergeCell ref="H3:I3"/>
    <mergeCell ref="K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1- écart rémunération</vt:lpstr>
      <vt:lpstr>2- écart augmentations</vt:lpstr>
      <vt:lpstr>2 - message</vt:lpstr>
      <vt:lpstr>3- AI maternité</vt:lpstr>
      <vt:lpstr>4- 10 + hautes rému</vt:lpstr>
      <vt:lpstr>index</vt:lpstr>
      <vt:lpstr>barèmes</vt:lpstr>
      <vt:lpstr>'1- écart rémunération'!Zone_d_impression</vt:lpstr>
      <vt:lpstr>'2- écart augmentations'!Zone_d_impression</vt:lpstr>
      <vt:lpstr>'3- AI maternité'!Zone_d_impression</vt:lpstr>
      <vt:lpstr>'4- 10 + hautes rému'!Zone_d_impression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VERGER Renaud</cp:lastModifiedBy>
  <cp:lastPrinted>2019-09-30T10:15:31Z</cp:lastPrinted>
  <dcterms:created xsi:type="dcterms:W3CDTF">2018-06-27T07:13:52Z</dcterms:created>
  <dcterms:modified xsi:type="dcterms:W3CDTF">2022-01-05T16:34:42Z</dcterms:modified>
</cp:coreProperties>
</file>